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comments6.xml><?xml version="1.0" encoding="utf-8"?>
<comments xmlns="http://schemas.openxmlformats.org/spreadsheetml/2006/main">
  <authors>
    <author>Lion</author>
  </authors>
  <commentList>
    <comment ref="E11" authorId="0">
      <text>
        <r>
          <rPr>
            <b/>
            <sz val="9"/>
            <rFont val="Tahoma"/>
            <family val="2"/>
          </rPr>
          <t>Lion:</t>
        </r>
        <r>
          <rPr>
            <sz val="9"/>
            <rFont val="Tahoma"/>
            <family val="2"/>
          </rPr>
          <t xml:space="preserve">
в т.ч. 65,4 тис.грн премія + 64,5 тис.грн премія за бюдж.кошти</t>
        </r>
      </text>
    </comment>
  </commentList>
</comments>
</file>

<file path=xl/sharedStrings.xml><?xml version="1.0" encoding="utf-8"?>
<sst xmlns="http://schemas.openxmlformats.org/spreadsheetml/2006/main" count="391" uniqueCount="310">
  <si>
    <t>I. Формування фінансових результатів</t>
  </si>
  <si>
    <t>Найменування показника</t>
  </si>
  <si>
    <t xml:space="preserve">Код рядка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</si>
  <si>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</si>
  <si>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</si>
  <si>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</si>
  <si>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</si>
  <si>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</si>
  <si>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</si>
  <si>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</si>
  <si>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</si>
  <si>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</si>
  <si>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</si>
  <si>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</si>
  <si>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</si>
  <si>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</si>
  <si>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</si>
  <si>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</si>
  <si>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</si>
  <si>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</si>
  <si>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</si>
  <si>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</si>
  <si>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</si>
  <si>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</si>
  <si>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</si>
  <si>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</si>
  <si>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</si>
  <si>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</si>
  <si>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</si>
  <si>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</si>
  <si>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</si>
  <si>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</si>
  <si>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</si>
  <si>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</si>
  <si>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</si>
  <si>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</si>
  <si>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</si>
  <si>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</si>
  <si>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</si>
  <si>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</si>
  <si>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</si>
  <si>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</si>
  <si>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</si>
  <si>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</si>
  <si>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</si>
  <si>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</si>
  <si>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</si>
  <si>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</si>
  <si>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</si>
  <si>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</si>
  <si>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</si>
  <si>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</si>
  <si>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</si>
  <si>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</si>
  <si>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</si>
  <si>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</si>
  <si>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</si>
  <si>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</si>
  <si>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</si>
  <si>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</si>
  <si>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</si>
  <si>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</si>
  <si>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</si>
  <si>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</si>
  <si>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</si>
  <si>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</si>
  <si>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</si>
  <si>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</si>
  <si>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</si>
  <si>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</si>
  <si>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</si>
  <si>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</si>
  <si>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</si>
  <si>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</si>
  <si>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</si>
  <si>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</si>
  <si>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</si>
  <si>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</si>
  <si>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</si>
  <si>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</si>
  <si>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</si>
  <si>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</si>
  <si>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</si>
  <si>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</si>
  <si>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</si>
  <si>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</si>
  <si>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</si>
  <si>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</si>
  <si>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</si>
  <si>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</si>
  <si>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</si>
  <si>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</si>
  <si>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</si>
  <si>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</si>
  <si>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</si>
  <si>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</si>
  <si>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</si>
  <si>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</si>
  <si>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</si>
  <si>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</si>
  <si>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</si>
  <si>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</si>
  <si>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</si>
  <si>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</si>
  <si>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</si>
  <si>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</si>
  <si>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</si>
  <si>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</si>
  <si>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</si>
  <si>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</si>
  <si>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</si>
  <si>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</si>
  <si>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</si>
  <si>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</si>
  <si>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</si>
  <si>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</si>
  <si>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</si>
  <si>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</si>
  <si>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</si>
  <si>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</si>
  <si>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</si>
  <si>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</si>
  <si>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</si>
  <si>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</si>
  <si>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</si>
  <si>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</si>
  <si>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</si>
  <si>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</si>
  <si>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</si>
  <si>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</si>
  <si>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</si>
  <si>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</si>
  <si>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</si>
  <si>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</si>
  <si>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</si>
  <si>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</si>
  <si>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Елементи операційних витрат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</si>
  <si>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</si>
  <si>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</si>
  <si>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</si>
  <si>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</si>
  <si>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</si>
  <si>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</si>
  <si>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Комунальна</t>
  </si>
  <si>
    <t xml:space="preserve">Головний бухгалтер </t>
  </si>
  <si>
    <t>2116/1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</si>
  <si>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</si>
  <si>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</si>
  <si>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</si>
  <si>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амортизація основних засобів і нематеріальних активів загально-господарського призначення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</si>
  <si>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</si>
  <si>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</si>
  <si>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</si>
  <si>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</si>
  <si>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81.10</t>
  </si>
  <si>
    <t>начальник</t>
  </si>
  <si>
    <t>Цільове фінансування</t>
  </si>
  <si>
    <t>Екологічний податок</t>
  </si>
  <si>
    <t>Податок на воду</t>
  </si>
  <si>
    <t>нар.частини чист.приб.</t>
  </si>
  <si>
    <t>ком.послуги</t>
  </si>
  <si>
    <t>преса та оголошення</t>
  </si>
  <si>
    <t>сировина і матеріали</t>
  </si>
  <si>
    <t>дохід від реал.обор.актив.</t>
  </si>
  <si>
    <t>пені неуст.відсотки банку</t>
  </si>
  <si>
    <t>інші фінансові доходи</t>
  </si>
  <si>
    <t>1070/5</t>
  </si>
  <si>
    <t>частина чистого прибутку</t>
  </si>
  <si>
    <t>1070/1</t>
  </si>
  <si>
    <t>1070/2</t>
  </si>
  <si>
    <t>1070/3</t>
  </si>
  <si>
    <t>1070/4</t>
  </si>
  <si>
    <t>1070/6</t>
  </si>
  <si>
    <t>Інші доходи (амортизація)</t>
  </si>
  <si>
    <t>Інші витрати (амортизація)</t>
  </si>
  <si>
    <t>Поточний ремонт покрівлі, герметизації стиків</t>
  </si>
  <si>
    <t>Вивезення та захоронення сміття</t>
  </si>
  <si>
    <t>Загальновиробничі витрати</t>
  </si>
  <si>
    <t>Обслуговування ліфтів</t>
  </si>
  <si>
    <t>інформаційно-консультативні послуги, облс.ПК</t>
  </si>
  <si>
    <t>Начальник КП НМР "ЖКО"</t>
  </si>
  <si>
    <t>Ольга ЄРИКАЛОВА</t>
  </si>
  <si>
    <t>Від операційної оренди</t>
  </si>
  <si>
    <t>1080/1</t>
  </si>
  <si>
    <t>1080/2</t>
  </si>
  <si>
    <t>1080/3</t>
  </si>
  <si>
    <t>1080/4</t>
  </si>
  <si>
    <t>1080/5</t>
  </si>
  <si>
    <t>адміністративні штрафи</t>
  </si>
  <si>
    <t>Надходження від отримання субсидій та дотацій</t>
  </si>
  <si>
    <t>м.Нетішин, пр-т Незалежності, 31</t>
  </si>
  <si>
    <t>V. Дані про персонал та витрати на оплату праці</t>
  </si>
  <si>
    <t>елек.енергія населення</t>
  </si>
  <si>
    <t>електроенергія населення</t>
  </si>
  <si>
    <r>
      <t>Комунальне підприємство Нетішинської міської ради "Житлово-комунальне об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єднання"</t>
    </r>
  </si>
  <si>
    <t>9-14-89, 9-13-32</t>
  </si>
  <si>
    <t>Від пені, штрафи, неустойки</t>
  </si>
  <si>
    <t>Податок на землю</t>
  </si>
  <si>
    <t>інші витрати</t>
  </si>
  <si>
    <t>пені, штрафи, неустойки</t>
  </si>
  <si>
    <t>відрахування 0,3%</t>
  </si>
  <si>
    <t>Інші операційні витрати (розшифрувати)</t>
  </si>
  <si>
    <t>електроенергія</t>
  </si>
  <si>
    <t>послуги банківсього обслуговування</t>
  </si>
  <si>
    <t>Витрати на утримання основних фондів, інших необоротних активів загальногосподарського використання,  у тому числі:</t>
  </si>
  <si>
    <t>пожежна охорона</t>
  </si>
  <si>
    <t>Інші (комун.посл., тех.обслуговування, дератизація, дезинсекція, адмінвитрати та ін.)</t>
  </si>
  <si>
    <t xml:space="preserve">Витрати на паливо та енергію </t>
  </si>
  <si>
    <t>витрати на оренду службових автомобілів</t>
  </si>
  <si>
    <t>внески на утримання адм.буд</t>
  </si>
  <si>
    <t>адм.та судові збори</t>
  </si>
  <si>
    <t>капітальний ремонт ліфтів</t>
  </si>
  <si>
    <t>собівартість реаліз.вироб.запасів</t>
  </si>
  <si>
    <t>кап.ремонт ліфтів</t>
  </si>
  <si>
    <t>1080/6</t>
  </si>
  <si>
    <t>військовий збір</t>
  </si>
  <si>
    <t>Надходження від ФСС</t>
  </si>
  <si>
    <t>Борг перед ХАЕС зг.ріш.суду</t>
  </si>
  <si>
    <t>Банківське обслуг.</t>
  </si>
  <si>
    <t>Інші витрати</t>
  </si>
  <si>
    <t>(2285)</t>
  </si>
  <si>
    <t>100</t>
  </si>
  <si>
    <t>1424</t>
  </si>
  <si>
    <t>матер.та послуг прид.за бюд.кошти</t>
  </si>
  <si>
    <t>1070/7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</si>
  <si>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</si>
  <si>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</si>
  <si>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</si>
  <si>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</si>
  <si>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</si>
  <si>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</si>
  <si>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</si>
  <si>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 (навчання працівників)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</si>
  <si>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</si>
  <si>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</si>
  <si>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</si>
  <si>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</si>
  <si>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</si>
  <si>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</si>
  <si>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</si>
  <si>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</si>
  <si>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</si>
  <si>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2124/1</t>
  </si>
  <si>
    <t>2124/2</t>
  </si>
  <si>
    <t>2124/3</t>
  </si>
  <si>
    <t>2124/4</t>
  </si>
  <si>
    <t>2124/5</t>
  </si>
  <si>
    <t>2124/6</t>
  </si>
  <si>
    <t>3060/1</t>
  </si>
  <si>
    <t>3060/2</t>
  </si>
  <si>
    <t>3060/3</t>
  </si>
  <si>
    <t>3060/4</t>
  </si>
  <si>
    <t>3144/2</t>
  </si>
  <si>
    <t>3150/1</t>
  </si>
  <si>
    <t>3150/2</t>
  </si>
  <si>
    <t>3170/1</t>
  </si>
  <si>
    <t>3170/2</t>
  </si>
  <si>
    <t>3170/3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</si>
  <si>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</si>
  <si>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1016/1</t>
  </si>
  <si>
    <t>1016/2</t>
  </si>
  <si>
    <t>Інші витрати(розшифрувати)</t>
  </si>
  <si>
    <t>Повернення оплат від продавців</t>
  </si>
  <si>
    <t>Факт минулого року 2021</t>
  </si>
  <si>
    <t>ЄСВ</t>
  </si>
  <si>
    <t>обст.констр., визн.тех.стану і т.п., експ.оцінка адмін прим.</t>
  </si>
  <si>
    <t>1051/10</t>
  </si>
  <si>
    <t>1080/8</t>
  </si>
  <si>
    <t>Поповнення статутного капіталу</t>
  </si>
  <si>
    <t>Повернення суд.зборів та ін.</t>
  </si>
  <si>
    <t>3060/5</t>
  </si>
  <si>
    <t>3060/6</t>
  </si>
  <si>
    <t>3170/4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</si>
  <si>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</si>
  <si>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</si>
  <si>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</si>
  <si>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</si>
  <si>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</si>
  <si>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</si>
  <si>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Витрачання на оплату повернення авансів</t>
  </si>
  <si>
    <t>придбання на оновлення необоротних активів (розшифрувати)</t>
  </si>
  <si>
    <t xml:space="preserve">Розрахунки з оплати праці </t>
  </si>
  <si>
    <t>3120/1</t>
  </si>
  <si>
    <t>3120/2</t>
  </si>
  <si>
    <t>Фонд оплати праці</t>
  </si>
  <si>
    <t>6020/1</t>
  </si>
  <si>
    <t>для розрахунку з кредитором (ВП ХАЕС)</t>
  </si>
  <si>
    <t xml:space="preserve">Факт минулого року 2021 </t>
  </si>
  <si>
    <t>відхилення,  +/–</t>
  </si>
  <si>
    <t>виконання, %</t>
  </si>
  <si>
    <t>План 2022 рік</t>
  </si>
  <si>
    <t>Факт 2022 рік</t>
  </si>
  <si>
    <t>ЗВІТ</t>
  </si>
  <si>
    <t>ПРО ВИКОНАННЯ ФІНАНСОВОГО ПЛАНУ ПІДПРИЄМСТВА</t>
  </si>
  <si>
    <t>(квартал, рік)</t>
  </si>
  <si>
    <t>(4940)</t>
  </si>
  <si>
    <t>ІI. Розрахунки з бюджетом</t>
  </si>
  <si>
    <t>Повернення заробітної плати</t>
  </si>
  <si>
    <t>3060/7</t>
  </si>
  <si>
    <t>IV. Капітальні інвестиції</t>
  </si>
  <si>
    <t>план</t>
  </si>
  <si>
    <t>факт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</si>
  <si>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</si>
  <si>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______________________ Ольга ЄРИКАЛОВА</t>
  </si>
  <si>
    <t>______________________ Оксана ЗОЩУК</t>
  </si>
  <si>
    <t xml:space="preserve"> ЗА 2022 рік</t>
  </si>
  <si>
    <t>Таблиця 6</t>
  </si>
  <si>
    <t>списано з 203</t>
  </si>
  <si>
    <t>__________________________________</t>
  </si>
  <si>
    <t>ЗВІТ ПРО ВИКОНАННЯ ФІНАНСОВОГО ПЛАНУ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</si>
</sst>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(* #,##0_);_(* \(#,##0\);_(* &quot;-&quot;??_);_(@_)"/>
    <numFmt numFmtId="199" formatCode="_(* #,##0.0_);_(* \(#,##0.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(* #,##0.0_);_(* \(#,##0.0\);_(* &quot;-&quot;_);_(@_)"/>
    <numFmt numFmtId="205" formatCode="_(* #,##0.00_);_(* \(#,##0.00\);_(* &quot;-&quot;_);_(@_)"/>
    <numFmt numFmtId="206" formatCode="_(* #,##0.000_);_(* \(#,##0.000\);_(* &quot;-&quot;_);_(@_)"/>
    <numFmt numFmtId="207" formatCode="_-* #,##0.000\ _р_._-;\-* #,##0.000\ _р_._-;_-* &quot;-&quot;???\ _р_._-;_-@_-"/>
    <numFmt numFmtId="208" formatCode="#,##0.000"/>
    <numFmt numFmtId="209" formatCode="#,##0.0000"/>
    <numFmt numFmtId="210" formatCode="0.00000"/>
    <numFmt numFmtId="211" formatCode="0.0000"/>
    <numFmt numFmtId="212" formatCode="0.000"/>
    <numFmt numFmtId="213" formatCode="0.00000000"/>
    <numFmt numFmtId="214" formatCode="0.0000000"/>
    <numFmt numFmtId="215" formatCode="0.000000"/>
    <numFmt numFmtId="216" formatCode="_-* #,##0.0000\ _р_._-;\-* #,##0.0000\ _р_._-;_-* &quot;-&quot;????\ _р_._-;_-@_-"/>
    <numFmt numFmtId="217" formatCode="_-* #,##0.00\ _р_._-;\-* #,##0.00\ _р_._-;_-* &quot;-&quot;???\ _р_._-;_-@_-"/>
    <numFmt numFmtId="218" formatCode="_-* #,##0.0\ _р_._-;\-* #,##0.0\ _р_._-;_-* &quot;-&quot;???\ _р_._-;_-@_-"/>
    <numFmt numFmtId="219" formatCode="_-* #,##0\ _р_._-;\-* #,##0\ _р_._-;_-* &quot;-&quot;???\ _р_._-;_-@_-"/>
    <numFmt numFmtId="220" formatCode="_-* #,##0.0\ _₽_-;\-* #,##0.0\ _₽_-;_-* &quot;-&quot;?\ _₽_-;_-@_-"/>
    <numFmt numFmtId="221" formatCode="_-* #,##0.0_р_._-;\-* #,##0.0_р_._-;_-* &quot;-&quot;?_р_._-;_-@_-"/>
    <numFmt numFmtId="222" formatCode="[$-FC19]d\ mmmm\ yyyy\ &quot;г.&quot;"/>
  </numFmts>
  <fonts count="7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197" fontId="4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193" fontId="3" fillId="32" borderId="10" xfId="0" applyNumberFormat="1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20" xfId="53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center" vertical="center"/>
    </xf>
    <xf numFmtId="0" fontId="9" fillId="32" borderId="0" xfId="0" applyFont="1" applyFill="1" applyAlignment="1">
      <alignment/>
    </xf>
    <xf numFmtId="196" fontId="3" fillId="0" borderId="0" xfId="0" applyNumberFormat="1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quotePrefix="1">
      <alignment horizontal="left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horizontal="center" vertical="center" wrapText="1" shrinkToFit="1"/>
    </xf>
    <xf numFmtId="0" fontId="9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4" fontId="2" fillId="32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93" fontId="2" fillId="32" borderId="0" xfId="0" applyNumberFormat="1" applyFont="1" applyFill="1" applyAlignment="1">
      <alignment horizontal="center" vertical="center"/>
    </xf>
    <xf numFmtId="204" fontId="3" fillId="32" borderId="10" xfId="0" applyNumberFormat="1" applyFont="1" applyFill="1" applyBorder="1" applyAlignment="1">
      <alignment horizontal="right" vertical="center" wrapText="1"/>
    </xf>
    <xf numFmtId="193" fontId="69" fillId="32" borderId="10" xfId="0" applyNumberFormat="1" applyFont="1" applyFill="1" applyBorder="1" applyAlignment="1">
      <alignment horizontal="right" vertical="center" wrapText="1"/>
    </xf>
    <xf numFmtId="193" fontId="3" fillId="0" borderId="10" xfId="0" applyNumberFormat="1" applyFont="1" applyFill="1" applyBorder="1" applyAlignment="1">
      <alignment horizontal="right" vertical="center" wrapText="1"/>
    </xf>
    <xf numFmtId="193" fontId="69" fillId="0" borderId="10" xfId="0" applyNumberFormat="1" applyFont="1" applyFill="1" applyBorder="1" applyAlignment="1">
      <alignment horizontal="right" vertical="center" wrapText="1"/>
    </xf>
    <xf numFmtId="193" fontId="3" fillId="32" borderId="10" xfId="0" applyNumberFormat="1" applyFont="1" applyFill="1" applyBorder="1" applyAlignment="1">
      <alignment horizontal="right" vertical="center" wrapText="1"/>
    </xf>
    <xf numFmtId="193" fontId="69" fillId="33" borderId="10" xfId="0" applyNumberFormat="1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3" fillId="32" borderId="10" xfId="0" applyNumberFormat="1" applyFont="1" applyFill="1" applyBorder="1" applyAlignment="1">
      <alignment horizontal="right" vertical="center" wrapText="1"/>
    </xf>
    <xf numFmtId="1" fontId="19" fillId="32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2" fontId="3" fillId="32" borderId="10" xfId="0" applyNumberFormat="1" applyFont="1" applyFill="1" applyBorder="1" applyAlignment="1">
      <alignment horizontal="right" vertical="center" wrapText="1"/>
    </xf>
    <xf numFmtId="1" fontId="4" fillId="32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198" fontId="3" fillId="32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197" fontId="4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193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 wrapText="1"/>
    </xf>
    <xf numFmtId="198" fontId="3" fillId="32" borderId="10" xfId="0" applyNumberFormat="1" applyFont="1" applyFill="1" applyBorder="1" applyAlignment="1">
      <alignment horizontal="center" vertical="center" wrapText="1"/>
    </xf>
    <xf numFmtId="198" fontId="4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 quotePrefix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10" fillId="32" borderId="19" xfId="0" applyFont="1" applyFill="1" applyBorder="1" applyAlignment="1" quotePrefix="1">
      <alignment horizontal="center" vertical="center"/>
    </xf>
    <xf numFmtId="0" fontId="10" fillId="32" borderId="10" xfId="0" applyFont="1" applyFill="1" applyBorder="1" applyAlignment="1" quotePrefix="1">
      <alignment horizontal="center" vertical="center"/>
    </xf>
    <xf numFmtId="0" fontId="10" fillId="32" borderId="20" xfId="0" applyFont="1" applyFill="1" applyBorder="1" applyAlignment="1" quotePrefix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/>
    </xf>
    <xf numFmtId="193" fontId="3" fillId="0" borderId="10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center" vertical="center"/>
    </xf>
    <xf numFmtId="193" fontId="3" fillId="0" borderId="0" xfId="0" applyNumberFormat="1" applyFont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3" fontId="69" fillId="0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 quotePrefix="1">
      <alignment horizontal="center" vertical="center"/>
    </xf>
    <xf numFmtId="193" fontId="4" fillId="34" borderId="10" xfId="0" applyNumberFormat="1" applyFont="1" applyFill="1" applyBorder="1" applyAlignment="1">
      <alignment horizontal="right" vertical="center" wrapText="1"/>
    </xf>
    <xf numFmtId="193" fontId="70" fillId="34" borderId="10" xfId="0" applyNumberFormat="1" applyFont="1" applyFill="1" applyBorder="1" applyAlignment="1">
      <alignment horizontal="right" vertical="center" wrapText="1"/>
    </xf>
    <xf numFmtId="0" fontId="70" fillId="34" borderId="10" xfId="0" applyNumberFormat="1" applyFont="1" applyFill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1" fontId="70" fillId="34" borderId="10" xfId="0" applyNumberFormat="1" applyFont="1" applyFill="1" applyBorder="1" applyAlignment="1">
      <alignment horizontal="right" vertical="center" wrapText="1"/>
    </xf>
    <xf numFmtId="1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 shrinkToFit="1"/>
    </xf>
    <xf numFmtId="0" fontId="9" fillId="34" borderId="10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right" vertical="center" wrapText="1"/>
    </xf>
    <xf numFmtId="193" fontId="4" fillId="34" borderId="10" xfId="0" applyNumberFormat="1" applyFont="1" applyFill="1" applyBorder="1" applyAlignment="1">
      <alignment horizontal="right" vertical="center"/>
    </xf>
    <xf numFmtId="0" fontId="4" fillId="34" borderId="10" xfId="0" applyNumberFormat="1" applyFont="1" applyFill="1" applyBorder="1" applyAlignment="1">
      <alignment horizontal="righ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 quotePrefix="1">
      <alignment horizontal="center" vertical="center"/>
    </xf>
    <xf numFmtId="0" fontId="10" fillId="34" borderId="19" xfId="0" applyFont="1" applyFill="1" applyBorder="1" applyAlignment="1" quotePrefix="1">
      <alignment horizontal="center" vertical="center"/>
    </xf>
    <xf numFmtId="0" fontId="69" fillId="32" borderId="10" xfId="0" applyFont="1" applyFill="1" applyBorder="1" applyAlignment="1">
      <alignment horizontal="right" vertical="center"/>
    </xf>
    <xf numFmtId="196" fontId="69" fillId="32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/>
    </xf>
    <xf numFmtId="193" fontId="70" fillId="0" borderId="10" xfId="0" applyNumberFormat="1" applyFont="1" applyFill="1" applyBorder="1" applyAlignment="1">
      <alignment horizontal="right" vertical="center" wrapText="1"/>
    </xf>
    <xf numFmtId="193" fontId="4" fillId="32" borderId="10" xfId="0" applyNumberFormat="1" applyFont="1" applyFill="1" applyBorder="1" applyAlignment="1">
      <alignment horizontal="right" vertical="center"/>
    </xf>
    <xf numFmtId="193" fontId="69" fillId="34" borderId="10" xfId="0" applyNumberFormat="1" applyFont="1" applyFill="1" applyBorder="1" applyAlignment="1">
      <alignment horizontal="right" vertical="center" wrapText="1"/>
    </xf>
    <xf numFmtId="1" fontId="4" fillId="34" borderId="10" xfId="0" applyNumberFormat="1" applyFont="1" applyFill="1" applyBorder="1" applyAlignment="1">
      <alignment horizontal="right" vertical="center"/>
    </xf>
    <xf numFmtId="0" fontId="4" fillId="34" borderId="10" xfId="53" applyFont="1" applyFill="1" applyBorder="1" applyAlignment="1">
      <alignment horizontal="left" vertical="center" wrapText="1"/>
      <protection/>
    </xf>
    <xf numFmtId="0" fontId="10" fillId="34" borderId="10" xfId="53" applyFont="1" applyFill="1" applyBorder="1" applyAlignment="1">
      <alignment horizontal="center" vertical="center"/>
      <protection/>
    </xf>
    <xf numFmtId="0" fontId="10" fillId="34" borderId="1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2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198" fontId="26" fillId="0" borderId="0" xfId="0" applyNumberFormat="1" applyFont="1" applyAlignment="1">
      <alignment/>
    </xf>
    <xf numFmtId="0" fontId="3" fillId="32" borderId="20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69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" fontId="69" fillId="34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70" fillId="34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193" fontId="4" fillId="34" borderId="10" xfId="0" applyNumberFormat="1" applyFont="1" applyFill="1" applyBorder="1" applyAlignment="1">
      <alignment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3" fontId="3" fillId="0" borderId="11" xfId="0" applyNumberFormat="1" applyFont="1" applyBorder="1" applyAlignment="1">
      <alignment horizontal="center" vertical="center"/>
    </xf>
    <xf numFmtId="193" fontId="4" fillId="34" borderId="10" xfId="0" applyNumberFormat="1" applyFont="1" applyFill="1" applyBorder="1" applyAlignment="1">
      <alignment horizontal="center" vertical="center" wrapText="1"/>
    </xf>
    <xf numFmtId="193" fontId="70" fillId="34" borderId="11" xfId="0" applyNumberFormat="1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49" fontId="70" fillId="34" borderId="11" xfId="0" applyNumberFormat="1" applyFont="1" applyFill="1" applyBorder="1" applyAlignment="1">
      <alignment horizontal="center" vertical="center"/>
    </xf>
    <xf numFmtId="193" fontId="4" fillId="34" borderId="10" xfId="0" applyNumberFormat="1" applyFont="1" applyFill="1" applyBorder="1" applyAlignment="1">
      <alignment horizontal="center" vertical="center"/>
    </xf>
    <xf numFmtId="193" fontId="4" fillId="32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193" fontId="3" fillId="34" borderId="10" xfId="0" applyNumberFormat="1" applyFont="1" applyFill="1" applyBorder="1" applyAlignment="1">
      <alignment horizontal="center" vertical="center" wrapText="1"/>
    </xf>
    <xf numFmtId="193" fontId="3" fillId="34" borderId="10" xfId="0" applyNumberFormat="1" applyFont="1" applyFill="1" applyBorder="1" applyAlignment="1">
      <alignment horizontal="center" vertical="center"/>
    </xf>
    <xf numFmtId="193" fontId="4" fillId="34" borderId="11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10" fillId="0" borderId="0" xfId="0" applyFont="1" applyAlignment="1">
      <alignment/>
    </xf>
    <xf numFmtId="196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93" fontId="4" fillId="34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93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193" fontId="3" fillId="34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93" fontId="4" fillId="32" borderId="11" xfId="0" applyNumberFormat="1" applyFont="1" applyFill="1" applyBorder="1" applyAlignment="1">
      <alignment horizontal="right" vertical="center" wrapText="1"/>
    </xf>
    <xf numFmtId="193" fontId="3" fillId="32" borderId="11" xfId="0" applyNumberFormat="1" applyFont="1" applyFill="1" applyBorder="1" applyAlignment="1">
      <alignment horizontal="right" vertical="center" wrapText="1"/>
    </xf>
    <xf numFmtId="49" fontId="4" fillId="32" borderId="11" xfId="0" applyNumberFormat="1" applyFont="1" applyFill="1" applyBorder="1" applyAlignment="1">
      <alignment horizontal="right" vertical="center" wrapText="1"/>
    </xf>
    <xf numFmtId="193" fontId="4" fillId="34" borderId="11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right" vertical="center" wrapText="1"/>
    </xf>
    <xf numFmtId="1" fontId="3" fillId="32" borderId="11" xfId="0" applyNumberFormat="1" applyFont="1" applyFill="1" applyBorder="1" applyAlignment="1">
      <alignment horizontal="right" vertical="center" wrapText="1"/>
    </xf>
    <xf numFmtId="193" fontId="3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93" fontId="3" fillId="0" borderId="10" xfId="0" applyNumberFormat="1" applyFont="1" applyBorder="1" applyAlignment="1">
      <alignment/>
    </xf>
    <xf numFmtId="193" fontId="4" fillId="34" borderId="10" xfId="0" applyNumberFormat="1" applyFont="1" applyFill="1" applyBorder="1" applyAlignment="1">
      <alignment/>
    </xf>
    <xf numFmtId="0" fontId="3" fillId="32" borderId="11" xfId="0" applyNumberFormat="1" applyFont="1" applyFill="1" applyBorder="1" applyAlignment="1">
      <alignment horizontal="right" vertical="center" wrapText="1"/>
    </xf>
    <xf numFmtId="0" fontId="3" fillId="32" borderId="21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/>
    </xf>
    <xf numFmtId="0" fontId="10" fillId="34" borderId="10" xfId="0" applyNumberFormat="1" applyFont="1" applyFill="1" applyBorder="1" applyAlignment="1" quotePrefix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left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196" fontId="3" fillId="32" borderId="10" xfId="0" applyNumberFormat="1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69" fillId="32" borderId="10" xfId="0" applyFont="1" applyFill="1" applyBorder="1" applyAlignment="1" applyProtection="1">
      <alignment horizontal="left" vertical="center" wrapText="1"/>
      <protection locked="0"/>
    </xf>
    <xf numFmtId="0" fontId="69" fillId="32" borderId="10" xfId="0" applyNumberFormat="1" applyFont="1" applyFill="1" applyBorder="1" applyAlignment="1" applyProtection="1" quotePrefix="1">
      <alignment horizontal="center" vertical="center" wrapText="1"/>
      <protection locked="0"/>
    </xf>
    <xf numFmtId="193" fontId="69" fillId="32" borderId="10" xfId="0" applyNumberFormat="1" applyFont="1" applyFill="1" applyBorder="1" applyAlignment="1">
      <alignment horizontal="center" vertical="center" wrapText="1"/>
    </xf>
    <xf numFmtId="193" fontId="6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/>
    </xf>
    <xf numFmtId="193" fontId="30" fillId="0" borderId="10" xfId="0" applyNumberFormat="1" applyFont="1" applyBorder="1" applyAlignment="1">
      <alignment/>
    </xf>
    <xf numFmtId="0" fontId="9" fillId="0" borderId="0" xfId="53" applyFont="1" applyFill="1" applyBorder="1" applyAlignment="1">
      <alignment horizontal="left" vertical="center" wrapText="1"/>
      <protection/>
    </xf>
    <xf numFmtId="0" fontId="9" fillId="0" borderId="0" xfId="53" applyFont="1" applyFill="1" applyBorder="1" applyAlignment="1">
      <alignment horizontal="center" vertical="center"/>
      <protection/>
    </xf>
    <xf numFmtId="193" fontId="9" fillId="32" borderId="0" xfId="0" applyNumberFormat="1" applyFont="1" applyFill="1" applyBorder="1" applyAlignment="1">
      <alignment horizontal="center" vertical="center" wrapText="1"/>
    </xf>
    <xf numFmtId="193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" fontId="3" fillId="0" borderId="10" xfId="0" applyNumberFormat="1" applyFont="1" applyFill="1" applyBorder="1" applyAlignment="1">
      <alignment/>
    </xf>
    <xf numFmtId="1" fontId="29" fillId="0" borderId="0" xfId="0" applyNumberFormat="1" applyFont="1" applyAlignment="1">
      <alignment/>
    </xf>
    <xf numFmtId="198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1" fontId="20" fillId="33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8" fillId="0" borderId="1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 shrinkToFit="1"/>
    </xf>
    <xf numFmtId="0" fontId="3" fillId="32" borderId="19" xfId="0" applyFont="1" applyFill="1" applyBorder="1" applyAlignment="1">
      <alignment horizontal="center" vertical="center" wrapText="1" shrinkToFit="1"/>
    </xf>
    <xf numFmtId="0" fontId="3" fillId="32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32" borderId="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22" xfId="53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32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horizontal="left" vertical="center"/>
    </xf>
    <xf numFmtId="196" fontId="3" fillId="0" borderId="0" xfId="0" applyNumberFormat="1" applyFont="1" applyFill="1" applyBorder="1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32" borderId="11" xfId="53" applyFont="1" applyFill="1" applyBorder="1" applyAlignment="1">
      <alignment horizontal="center" vertical="center" wrapText="1"/>
      <protection/>
    </xf>
    <xf numFmtId="0" fontId="4" fillId="32" borderId="22" xfId="53" applyFont="1" applyFill="1" applyBorder="1" applyAlignment="1">
      <alignment horizontal="center" vertical="center" wrapText="1"/>
      <protection/>
    </xf>
    <xf numFmtId="0" fontId="3" fillId="32" borderId="20" xfId="53" applyFont="1" applyFill="1" applyBorder="1" applyAlignment="1">
      <alignment horizontal="center" vertical="center" wrapText="1"/>
      <protection/>
    </xf>
    <xf numFmtId="0" fontId="3" fillId="32" borderId="19" xfId="53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70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16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28" xfId="0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tabSelected="1" zoomScalePageLayoutView="0" workbookViewId="0" topLeftCell="A1">
      <selection activeCell="A14" sqref="A12:IV14"/>
    </sheetView>
  </sheetViews>
  <sheetFormatPr defaultColWidth="9.140625" defaultRowHeight="12.75"/>
  <cols>
    <col min="1" max="1" width="6.421875" style="69" customWidth="1"/>
    <col min="2" max="2" width="26.7109375" style="69" customWidth="1"/>
    <col min="3" max="5" width="9.57421875" style="69" customWidth="1"/>
    <col min="6" max="6" width="12.00390625" style="69" bestFit="1" customWidth="1"/>
    <col min="7" max="7" width="6.140625" style="69" bestFit="1" customWidth="1"/>
    <col min="8" max="8" width="15.28125" style="69" customWidth="1"/>
    <col min="9" max="16384" width="9.140625" style="69" customWidth="1"/>
  </cols>
  <sheetData>
    <row r="1" ht="12.75">
      <c r="B1" s="307"/>
    </row>
    <row r="2" spans="2:5" ht="17.25">
      <c r="B2" s="307"/>
      <c r="E2" s="308" t="s">
        <v>153</v>
      </c>
    </row>
    <row r="3" spans="2:5" ht="12.75">
      <c r="B3" s="307"/>
      <c r="E3" t="s">
        <v>308</v>
      </c>
    </row>
    <row r="4" spans="2:5" ht="12.75">
      <c r="B4" s="307"/>
      <c r="E4" t="s">
        <v>308</v>
      </c>
    </row>
    <row r="5" spans="2:5" ht="12.75">
      <c r="B5" s="307"/>
      <c r="E5" t="s">
        <v>308</v>
      </c>
    </row>
    <row r="6" ht="12.75">
      <c r="B6" s="307"/>
    </row>
    <row r="7" ht="12.75">
      <c r="B7" s="307"/>
    </row>
    <row r="8" ht="12.75">
      <c r="B8" s="307"/>
    </row>
    <row r="9" spans="2:8" ht="17.25">
      <c r="B9" s="309" t="s">
        <v>309</v>
      </c>
      <c r="C9" s="309"/>
      <c r="D9" s="309"/>
      <c r="E9" s="309"/>
      <c r="F9" s="309"/>
      <c r="G9" s="309"/>
      <c r="H9" s="309"/>
    </row>
    <row r="10" ht="20.25" customHeight="1">
      <c r="B10" s="17"/>
    </row>
    <row r="11" ht="20.25" customHeight="1" thickBot="1">
      <c r="B11" s="17"/>
    </row>
    <row r="12" spans="2:8" ht="15">
      <c r="B12" s="19"/>
      <c r="C12" s="19"/>
      <c r="D12" s="18"/>
      <c r="E12" s="18"/>
      <c r="F12" s="18"/>
      <c r="G12" s="310" t="s">
        <v>110</v>
      </c>
      <c r="H12" s="311"/>
    </row>
    <row r="13" spans="2:8" ht="15.75" thickBot="1">
      <c r="B13" s="26"/>
      <c r="C13" s="17"/>
      <c r="D13" s="17"/>
      <c r="E13" s="17"/>
      <c r="F13" s="19" t="s">
        <v>108</v>
      </c>
      <c r="G13" s="312">
        <v>2022</v>
      </c>
      <c r="H13" s="313"/>
    </row>
    <row r="14" spans="2:8" ht="73.5" customHeight="1" thickBot="1">
      <c r="B14" s="29" t="s">
        <v>111</v>
      </c>
      <c r="C14" s="262" t="s">
        <v>194</v>
      </c>
      <c r="D14" s="262"/>
      <c r="E14" s="262"/>
      <c r="F14" s="20" t="s">
        <v>112</v>
      </c>
      <c r="G14" s="256">
        <v>31345419</v>
      </c>
      <c r="H14" s="257"/>
    </row>
    <row r="15" spans="2:8" ht="31.5" thickBot="1">
      <c r="B15" s="21" t="s">
        <v>113</v>
      </c>
      <c r="C15" s="258" t="s">
        <v>141</v>
      </c>
      <c r="D15" s="258"/>
      <c r="E15" s="258"/>
      <c r="F15" s="23" t="s">
        <v>114</v>
      </c>
      <c r="G15" s="68">
        <v>150</v>
      </c>
      <c r="H15" s="70"/>
    </row>
    <row r="16" spans="2:8" ht="24.75" customHeight="1" thickBot="1">
      <c r="B16" s="21" t="s">
        <v>115</v>
      </c>
      <c r="C16" s="258"/>
      <c r="D16" s="258"/>
      <c r="E16" s="258"/>
      <c r="F16" s="23" t="s">
        <v>116</v>
      </c>
      <c r="G16" s="68" t="s">
        <v>142</v>
      </c>
      <c r="H16" s="70"/>
    </row>
    <row r="17" spans="2:8" ht="34.5" customHeight="1" thickBot="1">
      <c r="B17" s="21" t="s">
        <v>117</v>
      </c>
      <c r="C17" s="258"/>
      <c r="D17" s="258"/>
      <c r="E17" s="258"/>
      <c r="F17" s="23" t="s">
        <v>118</v>
      </c>
      <c r="G17" s="68" t="s">
        <v>154</v>
      </c>
      <c r="H17" s="70"/>
    </row>
    <row r="18" spans="2:8" ht="32.25" customHeight="1" thickBot="1">
      <c r="B18" s="21" t="s">
        <v>119</v>
      </c>
      <c r="C18" s="22"/>
      <c r="D18" s="22"/>
      <c r="E18" s="22"/>
      <c r="F18" s="23"/>
      <c r="G18" s="23"/>
      <c r="H18" s="20"/>
    </row>
    <row r="19" spans="2:8" ht="21.75" customHeight="1" thickBot="1">
      <c r="B19" s="21" t="s">
        <v>120</v>
      </c>
      <c r="C19" s="258" t="s">
        <v>143</v>
      </c>
      <c r="D19" s="258"/>
      <c r="E19" s="258"/>
      <c r="F19" s="23"/>
      <c r="G19" s="23"/>
      <c r="H19" s="20"/>
    </row>
    <row r="20" spans="2:8" ht="21.75" customHeight="1" thickBot="1">
      <c r="B20" s="21" t="s">
        <v>121</v>
      </c>
      <c r="C20" s="259">
        <v>124</v>
      </c>
      <c r="D20" s="259"/>
      <c r="E20" s="259"/>
      <c r="F20" s="22"/>
      <c r="G20" s="23"/>
      <c r="H20" s="20"/>
    </row>
    <row r="21" spans="2:8" ht="21.75" customHeight="1" thickBot="1">
      <c r="B21" s="21" t="s">
        <v>122</v>
      </c>
      <c r="C21" s="260" t="s">
        <v>190</v>
      </c>
      <c r="D21" s="260"/>
      <c r="E21" s="260"/>
      <c r="F21" s="260"/>
      <c r="G21" s="23"/>
      <c r="H21" s="20"/>
    </row>
    <row r="22" spans="2:8" ht="21.75" customHeight="1" thickBot="1">
      <c r="B22" s="21" t="s">
        <v>123</v>
      </c>
      <c r="C22" s="260" t="s">
        <v>195</v>
      </c>
      <c r="D22" s="260"/>
      <c r="E22" s="260"/>
      <c r="F22" s="260"/>
      <c r="G22" s="24"/>
      <c r="H22" s="25"/>
    </row>
    <row r="23" spans="3:8" ht="15">
      <c r="C23" s="24"/>
      <c r="D23" s="24"/>
      <c r="E23" s="24"/>
      <c r="F23" s="24"/>
      <c r="G23" s="24"/>
      <c r="H23" s="24"/>
    </row>
    <row r="24" spans="2:8" ht="15">
      <c r="B24" s="19" t="s">
        <v>124</v>
      </c>
      <c r="D24" s="261" t="s">
        <v>181</v>
      </c>
      <c r="E24" s="261"/>
      <c r="F24" s="261"/>
      <c r="G24" s="261"/>
      <c r="H24" s="17"/>
    </row>
    <row r="25" spans="2:8" ht="15">
      <c r="B25" s="17"/>
      <c r="C25" s="17"/>
      <c r="D25" s="17"/>
      <c r="E25" s="17"/>
      <c r="F25" s="19"/>
      <c r="G25" s="17"/>
      <c r="H25" s="17"/>
    </row>
    <row r="26" spans="2:8" ht="15">
      <c r="B26" s="71"/>
      <c r="C26" s="71"/>
      <c r="D26" s="71"/>
      <c r="E26" s="71"/>
      <c r="F26" s="71"/>
      <c r="G26" s="71"/>
      <c r="H26" s="71"/>
    </row>
    <row r="27" ht="15">
      <c r="B27" s="72"/>
    </row>
    <row r="28" ht="15">
      <c r="B28" s="16"/>
    </row>
    <row r="29" ht="15">
      <c r="B29" s="16"/>
    </row>
    <row r="30" ht="15">
      <c r="B30" s="16"/>
    </row>
    <row r="31" ht="15">
      <c r="B31" s="16"/>
    </row>
    <row r="32" ht="15">
      <c r="B32" s="16"/>
    </row>
    <row r="33" ht="15">
      <c r="B33" s="16"/>
    </row>
    <row r="34" ht="15">
      <c r="B34" s="16"/>
    </row>
  </sheetData>
  <sheetProtection/>
  <mergeCells count="13">
    <mergeCell ref="C19:E19"/>
    <mergeCell ref="C16:E16"/>
    <mergeCell ref="C17:E17"/>
    <mergeCell ref="C14:E14"/>
    <mergeCell ref="B9:H9"/>
    <mergeCell ref="G12:H12"/>
    <mergeCell ref="G13:H13"/>
    <mergeCell ref="G14:H14"/>
    <mergeCell ref="C15:E15"/>
    <mergeCell ref="C20:E20"/>
    <mergeCell ref="C21:F21"/>
    <mergeCell ref="C22:F22"/>
    <mergeCell ref="D24:G24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zoomScalePageLayoutView="0" workbookViewId="0" topLeftCell="A95">
      <selection activeCell="E104" sqref="E104:E105"/>
    </sheetView>
  </sheetViews>
  <sheetFormatPr defaultColWidth="9.140625" defaultRowHeight="12.75"/>
  <cols>
    <col min="1" max="1" width="37.00390625" style="46" customWidth="1"/>
    <col min="2" max="2" width="7.140625" style="46" customWidth="1"/>
    <col min="3" max="3" width="10.8515625" style="47" customWidth="1"/>
    <col min="4" max="7" width="10.8515625" style="46" customWidth="1"/>
    <col min="8" max="8" width="9.140625" style="46" customWidth="1"/>
    <col min="9" max="9" width="9.140625" style="46" hidden="1" customWidth="1"/>
    <col min="10" max="10" width="0" style="46" hidden="1" customWidth="1"/>
    <col min="11" max="11" width="9.140625" style="141" hidden="1" customWidth="1"/>
    <col min="12" max="15" width="0" style="46" hidden="1" customWidth="1"/>
    <col min="16" max="16" width="17.140625" style="46" hidden="1" customWidth="1"/>
    <col min="17" max="18" width="0" style="46" hidden="1" customWidth="1"/>
    <col min="19" max="16384" width="9.140625" style="46" customWidth="1"/>
  </cols>
  <sheetData>
    <row r="1" spans="1:11" ht="18" customHeight="1">
      <c r="A1" s="275" t="s">
        <v>292</v>
      </c>
      <c r="B1" s="275"/>
      <c r="C1" s="275"/>
      <c r="D1" s="275"/>
      <c r="E1" s="275"/>
      <c r="F1" s="275"/>
      <c r="G1" s="275"/>
      <c r="K1" s="46"/>
    </row>
    <row r="2" spans="1:11" ht="15">
      <c r="A2" s="275" t="s">
        <v>293</v>
      </c>
      <c r="B2" s="275"/>
      <c r="C2" s="275"/>
      <c r="D2" s="275"/>
      <c r="E2" s="275"/>
      <c r="F2" s="275"/>
      <c r="G2" s="275"/>
      <c r="K2" s="46"/>
    </row>
    <row r="3" spans="1:11" ht="15">
      <c r="A3" s="276" t="s">
        <v>305</v>
      </c>
      <c r="B3" s="276"/>
      <c r="C3" s="276"/>
      <c r="D3" s="276"/>
      <c r="E3" s="276"/>
      <c r="F3" s="276"/>
      <c r="G3" s="276"/>
      <c r="K3" s="46"/>
    </row>
    <row r="4" spans="1:11" ht="15">
      <c r="A4" s="277" t="s">
        <v>294</v>
      </c>
      <c r="B4" s="277"/>
      <c r="C4" s="277"/>
      <c r="D4" s="277"/>
      <c r="E4" s="277"/>
      <c r="F4" s="277"/>
      <c r="G4" s="277"/>
      <c r="K4" s="46"/>
    </row>
    <row r="5" spans="1:11" ht="15">
      <c r="A5" s="159"/>
      <c r="B5" s="159"/>
      <c r="C5" s="92"/>
      <c r="D5" s="92"/>
      <c r="E5" s="92"/>
      <c r="F5" s="92"/>
      <c r="G5" s="92" t="s">
        <v>109</v>
      </c>
      <c r="K5" s="46"/>
    </row>
    <row r="6" spans="1:11" ht="15">
      <c r="A6" s="278" t="s">
        <v>0</v>
      </c>
      <c r="B6" s="278"/>
      <c r="C6" s="278"/>
      <c r="D6" s="278"/>
      <c r="E6" s="278"/>
      <c r="F6" s="278"/>
      <c r="G6" s="278"/>
      <c r="K6" s="46"/>
    </row>
    <row r="7" spans="1:11" ht="15" customHeight="1">
      <c r="A7" s="160"/>
      <c r="B7" s="161"/>
      <c r="C7" s="160"/>
      <c r="D7" s="160"/>
      <c r="E7" s="161"/>
      <c r="F7" s="160"/>
      <c r="G7" s="160"/>
      <c r="K7" s="46"/>
    </row>
    <row r="8" spans="1:7" ht="15" customHeight="1">
      <c r="A8" s="263" t="s">
        <v>1</v>
      </c>
      <c r="B8" s="265" t="s">
        <v>2</v>
      </c>
      <c r="C8" s="267" t="s">
        <v>287</v>
      </c>
      <c r="D8" s="265" t="s">
        <v>290</v>
      </c>
      <c r="E8" s="269" t="s">
        <v>291</v>
      </c>
      <c r="F8" s="269" t="s">
        <v>288</v>
      </c>
      <c r="G8" s="269" t="s">
        <v>289</v>
      </c>
    </row>
    <row r="9" spans="1:7" ht="66" customHeight="1">
      <c r="A9" s="264"/>
      <c r="B9" s="266"/>
      <c r="C9" s="268"/>
      <c r="D9" s="266"/>
      <c r="E9" s="270"/>
      <c r="F9" s="270"/>
      <c r="G9" s="270"/>
    </row>
    <row r="10" spans="1:11" s="67" customFormat="1" ht="12.75">
      <c r="A10" s="30">
        <v>1</v>
      </c>
      <c r="B10" s="15">
        <v>2</v>
      </c>
      <c r="C10" s="45">
        <v>3</v>
      </c>
      <c r="D10" s="15">
        <v>4</v>
      </c>
      <c r="E10" s="15">
        <v>6</v>
      </c>
      <c r="F10" s="15">
        <v>7</v>
      </c>
      <c r="G10" s="15">
        <v>8</v>
      </c>
      <c r="K10" s="142"/>
    </row>
    <row r="11" spans="1:7" ht="15">
      <c r="A11" s="6" t="s">
        <v>3</v>
      </c>
      <c r="B11" s="93"/>
      <c r="C11" s="37"/>
      <c r="D11" s="48"/>
      <c r="E11" s="48"/>
      <c r="F11" s="48"/>
      <c r="G11" s="48"/>
    </row>
    <row r="12" spans="1:13" ht="27">
      <c r="A12" s="103" t="s">
        <v>4</v>
      </c>
      <c r="B12" s="104">
        <v>1000</v>
      </c>
      <c r="C12" s="105">
        <v>27146</v>
      </c>
      <c r="D12" s="107">
        <v>33105</v>
      </c>
      <c r="E12" s="170">
        <v>28359</v>
      </c>
      <c r="F12" s="109">
        <f>E12-D12</f>
        <v>-4746</v>
      </c>
      <c r="G12" s="109">
        <f>E12/D12*100</f>
        <v>85.66379700951518</v>
      </c>
      <c r="I12" s="141">
        <f>E12/M12*100</f>
        <v>76.90993409812059</v>
      </c>
      <c r="J12" s="141"/>
      <c r="L12" s="96"/>
      <c r="M12" s="46">
        <v>36873</v>
      </c>
    </row>
    <row r="13" spans="1:13" ht="27.75" customHeight="1">
      <c r="A13" s="103" t="s">
        <v>5</v>
      </c>
      <c r="B13" s="104">
        <v>1010</v>
      </c>
      <c r="C13" s="105">
        <v>22042</v>
      </c>
      <c r="D13" s="106">
        <v>27215.72</v>
      </c>
      <c r="E13" s="106">
        <f>SUM(E14:E26)-E19</f>
        <v>22927</v>
      </c>
      <c r="F13" s="109">
        <f aca="true" t="shared" si="0" ref="F13:F76">E13-D13</f>
        <v>-4288.720000000001</v>
      </c>
      <c r="G13" s="109">
        <f aca="true" t="shared" si="1" ref="G13:G76">E13/D13*100</f>
        <v>84.24175439782596</v>
      </c>
      <c r="I13" s="141"/>
      <c r="J13" s="141">
        <f>E13/M13*100</f>
        <v>64.90855557442954</v>
      </c>
      <c r="L13" s="96"/>
      <c r="M13" s="46">
        <v>35322</v>
      </c>
    </row>
    <row r="14" spans="1:12" ht="28.5" customHeight="1">
      <c r="A14" s="3" t="s">
        <v>6</v>
      </c>
      <c r="B14" s="15">
        <v>1011</v>
      </c>
      <c r="C14" s="59">
        <v>1022</v>
      </c>
      <c r="D14" s="53">
        <v>1046</v>
      </c>
      <c r="E14" s="162">
        <v>1099</v>
      </c>
      <c r="F14" s="163">
        <f t="shared" si="0"/>
        <v>53</v>
      </c>
      <c r="G14" s="163">
        <f t="shared" si="1"/>
        <v>105.06692160611854</v>
      </c>
      <c r="I14" s="141"/>
      <c r="J14" s="141"/>
      <c r="L14" s="96"/>
    </row>
    <row r="15" spans="1:12" ht="15">
      <c r="A15" s="3" t="s">
        <v>7</v>
      </c>
      <c r="B15" s="15">
        <v>1012</v>
      </c>
      <c r="C15" s="59"/>
      <c r="D15" s="53">
        <v>11</v>
      </c>
      <c r="E15" s="162">
        <v>9</v>
      </c>
      <c r="F15" s="163">
        <f t="shared" si="0"/>
        <v>-2</v>
      </c>
      <c r="G15" s="163">
        <f t="shared" si="1"/>
        <v>81.81818181818183</v>
      </c>
      <c r="I15" s="141"/>
      <c r="J15" s="141"/>
      <c r="L15" s="96"/>
    </row>
    <row r="16" spans="1:15" ht="15">
      <c r="A16" s="3" t="s">
        <v>8</v>
      </c>
      <c r="B16" s="15">
        <v>1013</v>
      </c>
      <c r="C16" s="59">
        <v>1075</v>
      </c>
      <c r="D16" s="53">
        <v>1140</v>
      </c>
      <c r="E16" s="162">
        <v>806</v>
      </c>
      <c r="F16" s="163">
        <f t="shared" si="0"/>
        <v>-334</v>
      </c>
      <c r="G16" s="163">
        <f t="shared" si="1"/>
        <v>70.7017543859649</v>
      </c>
      <c r="I16" s="141"/>
      <c r="J16" s="141"/>
      <c r="L16" s="96"/>
      <c r="O16" s="46">
        <f>E16+E51+E78</f>
        <v>3008</v>
      </c>
    </row>
    <row r="17" spans="1:12" ht="15">
      <c r="A17" s="3" t="s">
        <v>9</v>
      </c>
      <c r="B17" s="15">
        <v>1014</v>
      </c>
      <c r="C17" s="59">
        <v>7131</v>
      </c>
      <c r="D17" s="53">
        <v>8826</v>
      </c>
      <c r="E17" s="162">
        <v>6844</v>
      </c>
      <c r="F17" s="163">
        <f t="shared" si="0"/>
        <v>-1982</v>
      </c>
      <c r="G17" s="163">
        <f t="shared" si="1"/>
        <v>77.5436211194199</v>
      </c>
      <c r="I17" s="141"/>
      <c r="J17" s="141"/>
      <c r="L17" s="96"/>
    </row>
    <row r="18" spans="1:12" ht="15">
      <c r="A18" s="3" t="s">
        <v>10</v>
      </c>
      <c r="B18" s="15">
        <v>1015</v>
      </c>
      <c r="C18" s="59">
        <v>1526</v>
      </c>
      <c r="D18" s="53">
        <v>1941.72</v>
      </c>
      <c r="E18" s="162">
        <v>1501</v>
      </c>
      <c r="F18" s="163">
        <f t="shared" si="0"/>
        <v>-440.72</v>
      </c>
      <c r="G18" s="163">
        <f t="shared" si="1"/>
        <v>77.3025976968873</v>
      </c>
      <c r="I18" s="141"/>
      <c r="J18" s="141"/>
      <c r="L18" s="96"/>
    </row>
    <row r="19" spans="1:12" ht="54.75">
      <c r="A19" s="3" t="s">
        <v>258</v>
      </c>
      <c r="B19" s="5">
        <v>1016</v>
      </c>
      <c r="C19" s="53">
        <v>3129</v>
      </c>
      <c r="D19" s="53">
        <v>3072</v>
      </c>
      <c r="E19" s="162">
        <v>2587</v>
      </c>
      <c r="F19" s="163">
        <f t="shared" si="0"/>
        <v>-485</v>
      </c>
      <c r="G19" s="163">
        <f t="shared" si="1"/>
        <v>84.21223958333334</v>
      </c>
      <c r="I19" s="141"/>
      <c r="J19" s="141"/>
      <c r="L19" s="96"/>
    </row>
    <row r="20" spans="1:12" ht="15">
      <c r="A20" s="3" t="s">
        <v>178</v>
      </c>
      <c r="B20" s="15" t="s">
        <v>259</v>
      </c>
      <c r="C20" s="59">
        <v>2167</v>
      </c>
      <c r="D20" s="53">
        <v>2192</v>
      </c>
      <c r="E20" s="162">
        <v>1832</v>
      </c>
      <c r="F20" s="163">
        <f t="shared" si="0"/>
        <v>-360</v>
      </c>
      <c r="G20" s="163">
        <f t="shared" si="1"/>
        <v>83.57664233576642</v>
      </c>
      <c r="I20" s="141"/>
      <c r="J20" s="141"/>
      <c r="L20" s="96"/>
    </row>
    <row r="21" spans="1:12" ht="27">
      <c r="A21" s="3" t="s">
        <v>175</v>
      </c>
      <c r="B21" s="15" t="s">
        <v>260</v>
      </c>
      <c r="C21" s="59">
        <v>962</v>
      </c>
      <c r="D21" s="119">
        <v>880</v>
      </c>
      <c r="E21" s="162">
        <v>755</v>
      </c>
      <c r="F21" s="163">
        <f t="shared" si="0"/>
        <v>-125</v>
      </c>
      <c r="G21" s="163">
        <f t="shared" si="1"/>
        <v>85.79545454545455</v>
      </c>
      <c r="I21" s="141"/>
      <c r="J21" s="141"/>
      <c r="L21" s="96"/>
    </row>
    <row r="22" spans="1:12" ht="27">
      <c r="A22" s="3" t="s">
        <v>11</v>
      </c>
      <c r="B22" s="15">
        <v>1017</v>
      </c>
      <c r="C22" s="59">
        <v>46</v>
      </c>
      <c r="D22" s="119">
        <v>96</v>
      </c>
      <c r="E22" s="162">
        <v>16</v>
      </c>
      <c r="F22" s="163">
        <f t="shared" si="0"/>
        <v>-80</v>
      </c>
      <c r="G22" s="163">
        <f t="shared" si="1"/>
        <v>16.666666666666664</v>
      </c>
      <c r="I22" s="141"/>
      <c r="J22" s="141"/>
      <c r="L22" s="96"/>
    </row>
    <row r="23" spans="1:12" ht="15">
      <c r="A23" s="3" t="s">
        <v>261</v>
      </c>
      <c r="B23" s="15">
        <v>1018</v>
      </c>
      <c r="C23" s="59"/>
      <c r="D23" s="53"/>
      <c r="E23" s="162"/>
      <c r="F23" s="163"/>
      <c r="G23" s="163"/>
      <c r="I23" s="141"/>
      <c r="J23" s="141"/>
      <c r="L23" s="96"/>
    </row>
    <row r="24" spans="1:12" ht="14.25" customHeight="1">
      <c r="A24" s="102" t="s">
        <v>176</v>
      </c>
      <c r="B24" s="15">
        <v>1019</v>
      </c>
      <c r="C24" s="59">
        <v>5923</v>
      </c>
      <c r="D24" s="53">
        <v>6887</v>
      </c>
      <c r="E24" s="164">
        <v>6156</v>
      </c>
      <c r="F24" s="163">
        <f t="shared" si="0"/>
        <v>-731</v>
      </c>
      <c r="G24" s="163">
        <f t="shared" si="1"/>
        <v>89.38579933207492</v>
      </c>
      <c r="I24" s="141"/>
      <c r="J24" s="141"/>
      <c r="L24" s="96"/>
    </row>
    <row r="25" spans="1:12" ht="15.75" customHeight="1">
      <c r="A25" s="3" t="s">
        <v>177</v>
      </c>
      <c r="B25" s="15">
        <v>1020</v>
      </c>
      <c r="C25" s="59">
        <v>1835</v>
      </c>
      <c r="D25" s="55">
        <v>3640</v>
      </c>
      <c r="E25" s="164">
        <v>3341</v>
      </c>
      <c r="F25" s="163">
        <f t="shared" si="0"/>
        <v>-299</v>
      </c>
      <c r="G25" s="163">
        <f t="shared" si="1"/>
        <v>91.78571428571428</v>
      </c>
      <c r="I25" s="141"/>
      <c r="J25" s="141"/>
      <c r="L25" s="96"/>
    </row>
    <row r="26" spans="1:12" ht="41.25">
      <c r="A26" s="3" t="s">
        <v>206</v>
      </c>
      <c r="B26" s="15">
        <v>1021</v>
      </c>
      <c r="C26" s="59">
        <v>355</v>
      </c>
      <c r="D26" s="53">
        <v>556</v>
      </c>
      <c r="E26" s="162">
        <v>568</v>
      </c>
      <c r="F26" s="163">
        <f t="shared" si="0"/>
        <v>12</v>
      </c>
      <c r="G26" s="163">
        <f t="shared" si="1"/>
        <v>102.15827338129498</v>
      </c>
      <c r="I26" s="141"/>
      <c r="J26" s="141"/>
      <c r="L26" s="96"/>
    </row>
    <row r="27" spans="1:12" ht="15">
      <c r="A27" s="103" t="s">
        <v>13</v>
      </c>
      <c r="B27" s="104">
        <v>1020</v>
      </c>
      <c r="C27" s="105">
        <v>5104</v>
      </c>
      <c r="D27" s="171">
        <v>5889.279999999999</v>
      </c>
      <c r="E27" s="171">
        <f>E12-E13</f>
        <v>5432</v>
      </c>
      <c r="F27" s="109">
        <f t="shared" si="0"/>
        <v>-457.27999999999884</v>
      </c>
      <c r="G27" s="109">
        <f t="shared" si="1"/>
        <v>92.23538361225823</v>
      </c>
      <c r="I27" s="141"/>
      <c r="J27" s="141"/>
      <c r="L27" s="96"/>
    </row>
    <row r="28" spans="1:12" s="39" customFormat="1" ht="15">
      <c r="A28" s="103" t="s">
        <v>146</v>
      </c>
      <c r="B28" s="104">
        <v>1030</v>
      </c>
      <c r="C28" s="109">
        <v>4449</v>
      </c>
      <c r="D28" s="106">
        <v>5878.32</v>
      </c>
      <c r="E28" s="106">
        <f>SUM(E29:E50)</f>
        <v>4955</v>
      </c>
      <c r="F28" s="109">
        <f t="shared" si="0"/>
        <v>-923.3199999999997</v>
      </c>
      <c r="G28" s="109">
        <f t="shared" si="1"/>
        <v>84.29279113760396</v>
      </c>
      <c r="I28" s="143"/>
      <c r="J28" s="143">
        <f>E28/M13*100</f>
        <v>14.028084479927525</v>
      </c>
      <c r="K28" s="143"/>
      <c r="L28" s="96"/>
    </row>
    <row r="29" spans="1:12" ht="27">
      <c r="A29" s="3" t="s">
        <v>14</v>
      </c>
      <c r="B29" s="94">
        <v>1031</v>
      </c>
      <c r="C29" s="56">
        <v>193</v>
      </c>
      <c r="D29" s="53">
        <v>80</v>
      </c>
      <c r="E29" s="162">
        <v>132</v>
      </c>
      <c r="F29" s="163">
        <f t="shared" si="0"/>
        <v>52</v>
      </c>
      <c r="G29" s="163">
        <f t="shared" si="1"/>
        <v>165</v>
      </c>
      <c r="I29" s="141"/>
      <c r="J29" s="141"/>
      <c r="L29" s="96"/>
    </row>
    <row r="30" spans="1:12" ht="27">
      <c r="A30" s="3" t="s">
        <v>208</v>
      </c>
      <c r="B30" s="94">
        <v>1032</v>
      </c>
      <c r="C30" s="56"/>
      <c r="D30" s="53"/>
      <c r="E30" s="162"/>
      <c r="F30" s="163"/>
      <c r="G30" s="163"/>
      <c r="I30" s="141"/>
      <c r="J30" s="141"/>
      <c r="L30" s="96"/>
    </row>
    <row r="31" spans="1:12" ht="15">
      <c r="A31" s="3" t="s">
        <v>15</v>
      </c>
      <c r="B31" s="94">
        <v>1033</v>
      </c>
      <c r="C31" s="56"/>
      <c r="D31" s="53"/>
      <c r="E31" s="162"/>
      <c r="F31" s="163"/>
      <c r="G31" s="163"/>
      <c r="I31" s="141"/>
      <c r="J31" s="141"/>
      <c r="L31" s="96"/>
    </row>
    <row r="32" spans="1:12" ht="15">
      <c r="A32" s="3" t="s">
        <v>16</v>
      </c>
      <c r="B32" s="94">
        <v>1034</v>
      </c>
      <c r="C32" s="56"/>
      <c r="D32" s="120"/>
      <c r="E32" s="162"/>
      <c r="F32" s="163"/>
      <c r="G32" s="163"/>
      <c r="I32" s="141"/>
      <c r="J32" s="141"/>
      <c r="L32" s="96"/>
    </row>
    <row r="33" spans="1:12" ht="15">
      <c r="A33" s="3" t="s">
        <v>17</v>
      </c>
      <c r="B33" s="94">
        <v>1035</v>
      </c>
      <c r="C33" s="56"/>
      <c r="D33" s="53"/>
      <c r="E33" s="162"/>
      <c r="F33" s="163"/>
      <c r="G33" s="163"/>
      <c r="I33" s="141"/>
      <c r="J33" s="141"/>
      <c r="L33" s="96"/>
    </row>
    <row r="34" spans="1:12" ht="15">
      <c r="A34" s="3" t="s">
        <v>18</v>
      </c>
      <c r="B34" s="94">
        <v>1036</v>
      </c>
      <c r="C34" s="56">
        <v>5</v>
      </c>
      <c r="D34" s="99">
        <v>4</v>
      </c>
      <c r="E34" s="162">
        <v>5</v>
      </c>
      <c r="F34" s="163">
        <f t="shared" si="0"/>
        <v>1</v>
      </c>
      <c r="G34" s="163">
        <f t="shared" si="1"/>
        <v>125</v>
      </c>
      <c r="I34" s="141"/>
      <c r="J34" s="141"/>
      <c r="L34" s="96"/>
    </row>
    <row r="35" spans="1:12" ht="15">
      <c r="A35" s="3" t="s">
        <v>19</v>
      </c>
      <c r="B35" s="94">
        <v>1037</v>
      </c>
      <c r="C35" s="56">
        <v>30</v>
      </c>
      <c r="D35" s="121">
        <v>32</v>
      </c>
      <c r="E35" s="162">
        <v>37</v>
      </c>
      <c r="F35" s="163">
        <f t="shared" si="0"/>
        <v>5</v>
      </c>
      <c r="G35" s="163">
        <f t="shared" si="1"/>
        <v>115.625</v>
      </c>
      <c r="I35" s="141"/>
      <c r="J35" s="141"/>
      <c r="L35" s="96"/>
    </row>
    <row r="36" spans="1:12" ht="15">
      <c r="A36" s="3" t="s">
        <v>20</v>
      </c>
      <c r="B36" s="94">
        <v>1038</v>
      </c>
      <c r="C36" s="56">
        <v>3049</v>
      </c>
      <c r="D36" s="53">
        <v>4306</v>
      </c>
      <c r="E36" s="162">
        <v>3569</v>
      </c>
      <c r="F36" s="163">
        <f t="shared" si="0"/>
        <v>-737</v>
      </c>
      <c r="G36" s="163">
        <f t="shared" si="1"/>
        <v>82.88434742220157</v>
      </c>
      <c r="I36" s="141"/>
      <c r="J36" s="141"/>
      <c r="L36" s="96"/>
    </row>
    <row r="37" spans="1:12" ht="15">
      <c r="A37" s="3" t="s">
        <v>21</v>
      </c>
      <c r="B37" s="94">
        <v>1039</v>
      </c>
      <c r="C37" s="56">
        <v>670</v>
      </c>
      <c r="D37" s="53">
        <v>947.32</v>
      </c>
      <c r="E37" s="162">
        <v>781</v>
      </c>
      <c r="F37" s="163">
        <f t="shared" si="0"/>
        <v>-166.32000000000005</v>
      </c>
      <c r="G37" s="163">
        <f t="shared" si="1"/>
        <v>82.44310264746865</v>
      </c>
      <c r="I37" s="141"/>
      <c r="J37" s="141"/>
      <c r="L37" s="96"/>
    </row>
    <row r="38" spans="1:12" ht="41.25">
      <c r="A38" s="3" t="s">
        <v>149</v>
      </c>
      <c r="B38" s="94">
        <v>1040</v>
      </c>
      <c r="C38" s="56">
        <v>14</v>
      </c>
      <c r="D38" s="53">
        <v>17</v>
      </c>
      <c r="E38" s="162">
        <v>16</v>
      </c>
      <c r="F38" s="163">
        <f t="shared" si="0"/>
        <v>-1</v>
      </c>
      <c r="G38" s="163">
        <f t="shared" si="1"/>
        <v>94.11764705882352</v>
      </c>
      <c r="I38" s="141"/>
      <c r="J38" s="141"/>
      <c r="L38" s="96"/>
    </row>
    <row r="39" spans="1:12" ht="41.25">
      <c r="A39" s="3" t="s">
        <v>225</v>
      </c>
      <c r="B39" s="98">
        <v>1041</v>
      </c>
      <c r="C39" s="56"/>
      <c r="D39" s="53"/>
      <c r="E39" s="162"/>
      <c r="F39" s="163"/>
      <c r="G39" s="163"/>
      <c r="I39" s="141"/>
      <c r="J39" s="141"/>
      <c r="L39" s="96"/>
    </row>
    <row r="40" spans="1:12" ht="27">
      <c r="A40" s="3" t="s">
        <v>226</v>
      </c>
      <c r="B40" s="98">
        <v>1042</v>
      </c>
      <c r="C40" s="56"/>
      <c r="D40" s="120"/>
      <c r="E40" s="162"/>
      <c r="F40" s="163"/>
      <c r="G40" s="163"/>
      <c r="I40" s="141"/>
      <c r="J40" s="141"/>
      <c r="L40" s="96"/>
    </row>
    <row r="41" spans="1:12" ht="27">
      <c r="A41" s="3" t="s">
        <v>227</v>
      </c>
      <c r="B41" s="98">
        <v>1043</v>
      </c>
      <c r="C41" s="56"/>
      <c r="D41" s="120"/>
      <c r="E41" s="162"/>
      <c r="F41" s="163"/>
      <c r="G41" s="163"/>
      <c r="I41" s="141"/>
      <c r="J41" s="141"/>
      <c r="L41" s="96"/>
    </row>
    <row r="42" spans="1:12" ht="15">
      <c r="A42" s="3" t="s">
        <v>228</v>
      </c>
      <c r="B42" s="98">
        <v>1044</v>
      </c>
      <c r="C42" s="56"/>
      <c r="D42" s="120"/>
      <c r="E42" s="162"/>
      <c r="F42" s="163"/>
      <c r="G42" s="163"/>
      <c r="I42" s="141"/>
      <c r="J42" s="141"/>
      <c r="L42" s="96"/>
    </row>
    <row r="43" spans="1:12" ht="27">
      <c r="A43" s="3" t="s">
        <v>179</v>
      </c>
      <c r="B43" s="98">
        <v>1045</v>
      </c>
      <c r="C43" s="56">
        <v>82</v>
      </c>
      <c r="D43" s="53">
        <v>92</v>
      </c>
      <c r="E43" s="162">
        <v>89</v>
      </c>
      <c r="F43" s="163">
        <f t="shared" si="0"/>
        <v>-3</v>
      </c>
      <c r="G43" s="163">
        <f t="shared" si="1"/>
        <v>96.73913043478261</v>
      </c>
      <c r="I43" s="141"/>
      <c r="J43" s="141"/>
      <c r="L43" s="96"/>
    </row>
    <row r="44" spans="1:12" ht="15">
      <c r="A44" s="3" t="s">
        <v>229</v>
      </c>
      <c r="B44" s="98">
        <v>1046</v>
      </c>
      <c r="C44" s="56"/>
      <c r="D44" s="53"/>
      <c r="E44" s="162"/>
      <c r="F44" s="163"/>
      <c r="G44" s="163"/>
      <c r="I44" s="141"/>
      <c r="J44" s="141"/>
      <c r="L44" s="96"/>
    </row>
    <row r="45" spans="1:12" ht="15">
      <c r="A45" s="3" t="s">
        <v>230</v>
      </c>
      <c r="B45" s="98">
        <v>1047</v>
      </c>
      <c r="C45" s="56"/>
      <c r="D45" s="120"/>
      <c r="E45" s="162"/>
      <c r="F45" s="163"/>
      <c r="G45" s="163"/>
      <c r="I45" s="141"/>
      <c r="J45" s="141"/>
      <c r="L45" s="96"/>
    </row>
    <row r="46" spans="1:12" ht="27">
      <c r="A46" s="3" t="s">
        <v>231</v>
      </c>
      <c r="B46" s="98">
        <v>1048</v>
      </c>
      <c r="C46" s="56"/>
      <c r="D46" s="120"/>
      <c r="E46" s="162"/>
      <c r="F46" s="163"/>
      <c r="G46" s="163"/>
      <c r="I46" s="141"/>
      <c r="J46" s="141"/>
      <c r="L46" s="96"/>
    </row>
    <row r="47" spans="1:12" ht="41.25">
      <c r="A47" s="3" t="s">
        <v>232</v>
      </c>
      <c r="B47" s="98">
        <v>1049</v>
      </c>
      <c r="C47" s="56">
        <v>21</v>
      </c>
      <c r="D47" s="53">
        <v>16</v>
      </c>
      <c r="E47" s="162">
        <v>3</v>
      </c>
      <c r="F47" s="163">
        <f t="shared" si="0"/>
        <v>-13</v>
      </c>
      <c r="G47" s="163">
        <f t="shared" si="1"/>
        <v>18.75</v>
      </c>
      <c r="I47" s="141"/>
      <c r="J47" s="141"/>
      <c r="L47" s="96"/>
    </row>
    <row r="48" spans="1:12" ht="54.75">
      <c r="A48" s="3" t="s">
        <v>204</v>
      </c>
      <c r="B48" s="94">
        <v>1050</v>
      </c>
      <c r="C48" s="56"/>
      <c r="D48" s="120"/>
      <c r="E48" s="162"/>
      <c r="F48" s="163"/>
      <c r="G48" s="163"/>
      <c r="I48" s="141"/>
      <c r="J48" s="141"/>
      <c r="L48" s="96"/>
    </row>
    <row r="49" spans="1:12" ht="15">
      <c r="A49" s="3" t="s">
        <v>22</v>
      </c>
      <c r="B49" s="30" t="s">
        <v>23</v>
      </c>
      <c r="C49" s="56"/>
      <c r="D49" s="53"/>
      <c r="E49" s="162"/>
      <c r="F49" s="163"/>
      <c r="G49" s="163"/>
      <c r="I49" s="141"/>
      <c r="J49" s="141"/>
      <c r="L49" s="96"/>
    </row>
    <row r="50" spans="1:12" ht="27">
      <c r="A50" s="100" t="s">
        <v>24</v>
      </c>
      <c r="B50" s="101">
        <v>1051</v>
      </c>
      <c r="C50" s="124">
        <v>385</v>
      </c>
      <c r="D50" s="124">
        <v>384</v>
      </c>
      <c r="E50" s="165">
        <v>323</v>
      </c>
      <c r="F50" s="166">
        <f t="shared" si="0"/>
        <v>-61</v>
      </c>
      <c r="G50" s="166">
        <f t="shared" si="1"/>
        <v>84.11458333333334</v>
      </c>
      <c r="I50" s="141"/>
      <c r="J50" s="141"/>
      <c r="L50" s="96"/>
    </row>
    <row r="51" spans="1:12" ht="15">
      <c r="A51" s="3" t="s">
        <v>202</v>
      </c>
      <c r="B51" s="30" t="s">
        <v>233</v>
      </c>
      <c r="C51" s="59">
        <v>69</v>
      </c>
      <c r="D51" s="122">
        <v>68</v>
      </c>
      <c r="E51" s="162">
        <v>79</v>
      </c>
      <c r="F51" s="163">
        <f t="shared" si="0"/>
        <v>11</v>
      </c>
      <c r="G51" s="163">
        <f t="shared" si="1"/>
        <v>116.1764705882353</v>
      </c>
      <c r="I51" s="141"/>
      <c r="J51" s="141"/>
      <c r="L51" s="96"/>
    </row>
    <row r="52" spans="1:12" ht="15">
      <c r="A52" s="3" t="s">
        <v>160</v>
      </c>
      <c r="B52" s="30" t="s">
        <v>234</v>
      </c>
      <c r="C52" s="59">
        <v>32</v>
      </c>
      <c r="D52" s="55">
        <v>36</v>
      </c>
      <c r="E52" s="162">
        <v>34</v>
      </c>
      <c r="F52" s="163">
        <f t="shared" si="0"/>
        <v>-2</v>
      </c>
      <c r="G52" s="163">
        <f t="shared" si="1"/>
        <v>94.44444444444444</v>
      </c>
      <c r="I52" s="141"/>
      <c r="J52" s="141"/>
      <c r="L52" s="96"/>
    </row>
    <row r="53" spans="1:12" ht="15">
      <c r="A53" s="3" t="s">
        <v>205</v>
      </c>
      <c r="B53" s="30" t="s">
        <v>235</v>
      </c>
      <c r="C53" s="59">
        <v>3</v>
      </c>
      <c r="D53" s="55">
        <v>4</v>
      </c>
      <c r="E53" s="162">
        <v>4</v>
      </c>
      <c r="F53" s="163">
        <f t="shared" si="0"/>
        <v>0</v>
      </c>
      <c r="G53" s="163">
        <f t="shared" si="1"/>
        <v>100</v>
      </c>
      <c r="I53" s="141"/>
      <c r="J53" s="141"/>
      <c r="L53" s="96"/>
    </row>
    <row r="54" spans="1:12" ht="15">
      <c r="A54" s="3" t="s">
        <v>161</v>
      </c>
      <c r="B54" s="30" t="s">
        <v>236</v>
      </c>
      <c r="C54" s="59">
        <v>12</v>
      </c>
      <c r="D54" s="55">
        <v>16</v>
      </c>
      <c r="E54" s="162">
        <v>24</v>
      </c>
      <c r="F54" s="163">
        <f t="shared" si="0"/>
        <v>8</v>
      </c>
      <c r="G54" s="163">
        <f t="shared" si="1"/>
        <v>150</v>
      </c>
      <c r="I54" s="141"/>
      <c r="J54" s="141"/>
      <c r="L54" s="96"/>
    </row>
    <row r="55" spans="1:12" ht="15">
      <c r="A55" s="3" t="s">
        <v>203</v>
      </c>
      <c r="B55" s="30" t="s">
        <v>237</v>
      </c>
      <c r="C55" s="59">
        <v>4</v>
      </c>
      <c r="D55" s="55">
        <v>8</v>
      </c>
      <c r="E55" s="162">
        <v>6</v>
      </c>
      <c r="F55" s="163">
        <f t="shared" si="0"/>
        <v>-2</v>
      </c>
      <c r="G55" s="163">
        <f t="shared" si="1"/>
        <v>75</v>
      </c>
      <c r="I55" s="141"/>
      <c r="J55" s="141"/>
      <c r="L55" s="96"/>
    </row>
    <row r="56" spans="1:12" ht="15">
      <c r="A56" s="3" t="s">
        <v>200</v>
      </c>
      <c r="B56" s="30" t="s">
        <v>238</v>
      </c>
      <c r="C56" s="59">
        <v>22</v>
      </c>
      <c r="D56" s="55">
        <v>0</v>
      </c>
      <c r="E56" s="162"/>
      <c r="F56" s="163"/>
      <c r="G56" s="163"/>
      <c r="I56" s="141"/>
      <c r="J56" s="141"/>
      <c r="L56" s="96"/>
    </row>
    <row r="57" spans="1:12" ht="15">
      <c r="A57" s="3" t="s">
        <v>162</v>
      </c>
      <c r="B57" s="30" t="s">
        <v>239</v>
      </c>
      <c r="C57" s="59">
        <v>79</v>
      </c>
      <c r="D57" s="55">
        <v>84</v>
      </c>
      <c r="E57" s="162">
        <v>86</v>
      </c>
      <c r="F57" s="163">
        <f t="shared" si="0"/>
        <v>2</v>
      </c>
      <c r="G57" s="163">
        <f t="shared" si="1"/>
        <v>102.38095238095238</v>
      </c>
      <c r="I57" s="141"/>
      <c r="J57" s="141"/>
      <c r="L57" s="96"/>
    </row>
    <row r="58" spans="1:12" ht="15">
      <c r="A58" s="3" t="s">
        <v>209</v>
      </c>
      <c r="B58" s="30" t="s">
        <v>240</v>
      </c>
      <c r="C58" s="59">
        <v>64</v>
      </c>
      <c r="D58" s="57">
        <v>80</v>
      </c>
      <c r="E58" s="162">
        <v>78</v>
      </c>
      <c r="F58" s="163">
        <f t="shared" si="0"/>
        <v>-2</v>
      </c>
      <c r="G58" s="163">
        <f t="shared" si="1"/>
        <v>97.5</v>
      </c>
      <c r="I58" s="141"/>
      <c r="J58" s="141"/>
      <c r="L58" s="96"/>
    </row>
    <row r="59" spans="1:12" ht="15">
      <c r="A59" s="3" t="s">
        <v>210</v>
      </c>
      <c r="B59" s="30" t="s">
        <v>241</v>
      </c>
      <c r="C59" s="59">
        <v>60</v>
      </c>
      <c r="D59" s="84">
        <v>88</v>
      </c>
      <c r="E59" s="162">
        <v>12</v>
      </c>
      <c r="F59" s="163">
        <f t="shared" si="0"/>
        <v>-76</v>
      </c>
      <c r="G59" s="163">
        <f t="shared" si="1"/>
        <v>13.636363636363635</v>
      </c>
      <c r="I59" s="141"/>
      <c r="J59" s="141"/>
      <c r="L59" s="96"/>
    </row>
    <row r="60" spans="1:12" ht="27">
      <c r="A60" s="3" t="s">
        <v>265</v>
      </c>
      <c r="B60" s="30" t="s">
        <v>266</v>
      </c>
      <c r="C60" s="59">
        <v>40</v>
      </c>
      <c r="D60" s="84"/>
      <c r="E60" s="84"/>
      <c r="F60" s="163"/>
      <c r="G60" s="163"/>
      <c r="I60" s="141"/>
      <c r="J60" s="141"/>
      <c r="L60" s="96"/>
    </row>
    <row r="61" spans="1:12" ht="15">
      <c r="A61" s="3" t="s">
        <v>25</v>
      </c>
      <c r="B61" s="94">
        <v>1060</v>
      </c>
      <c r="C61" s="59"/>
      <c r="D61" s="58"/>
      <c r="E61" s="58"/>
      <c r="F61" s="163"/>
      <c r="G61" s="163"/>
      <c r="I61" s="141"/>
      <c r="J61" s="141"/>
      <c r="L61" s="96"/>
    </row>
    <row r="62" spans="1:12" ht="15">
      <c r="A62" s="3" t="s">
        <v>26</v>
      </c>
      <c r="B62" s="94">
        <v>1061</v>
      </c>
      <c r="C62" s="59"/>
      <c r="D62" s="59"/>
      <c r="E62" s="59"/>
      <c r="F62" s="163"/>
      <c r="G62" s="163"/>
      <c r="I62" s="141"/>
      <c r="J62" s="141"/>
      <c r="L62" s="96"/>
    </row>
    <row r="63" spans="1:12" ht="15">
      <c r="A63" s="3" t="s">
        <v>27</v>
      </c>
      <c r="B63" s="94">
        <v>1062</v>
      </c>
      <c r="C63" s="59"/>
      <c r="D63" s="60"/>
      <c r="E63" s="60"/>
      <c r="F63" s="163"/>
      <c r="G63" s="163"/>
      <c r="I63" s="141"/>
      <c r="J63" s="141"/>
      <c r="L63" s="96"/>
    </row>
    <row r="64" spans="1:12" ht="15">
      <c r="A64" s="3" t="s">
        <v>20</v>
      </c>
      <c r="B64" s="94">
        <v>1063</v>
      </c>
      <c r="C64" s="59"/>
      <c r="D64" s="60"/>
      <c r="E64" s="60"/>
      <c r="F64" s="163"/>
      <c r="G64" s="163"/>
      <c r="I64" s="141"/>
      <c r="J64" s="141"/>
      <c r="L64" s="96"/>
    </row>
    <row r="65" spans="1:12" ht="15">
      <c r="A65" s="3" t="s">
        <v>21</v>
      </c>
      <c r="B65" s="94">
        <v>1064</v>
      </c>
      <c r="C65" s="59"/>
      <c r="D65" s="60"/>
      <c r="E65" s="60"/>
      <c r="F65" s="163"/>
      <c r="G65" s="163"/>
      <c r="I65" s="141"/>
      <c r="J65" s="141"/>
      <c r="L65" s="96"/>
    </row>
    <row r="66" spans="1:12" ht="27">
      <c r="A66" s="3" t="s">
        <v>28</v>
      </c>
      <c r="B66" s="94">
        <v>1065</v>
      </c>
      <c r="C66" s="59"/>
      <c r="D66" s="59"/>
      <c r="E66" s="59"/>
      <c r="F66" s="163"/>
      <c r="G66" s="163"/>
      <c r="I66" s="141"/>
      <c r="J66" s="141"/>
      <c r="L66" s="96"/>
    </row>
    <row r="67" spans="1:12" ht="15">
      <c r="A67" s="3" t="s">
        <v>29</v>
      </c>
      <c r="B67" s="94">
        <v>1066</v>
      </c>
      <c r="C67" s="59"/>
      <c r="D67" s="60"/>
      <c r="E67" s="60"/>
      <c r="F67" s="163"/>
      <c r="G67" s="163"/>
      <c r="I67" s="141"/>
      <c r="J67" s="141"/>
      <c r="L67" s="96"/>
    </row>
    <row r="68" spans="1:12" ht="15">
      <c r="A68" s="35" t="s">
        <v>30</v>
      </c>
      <c r="B68" s="87">
        <v>1067</v>
      </c>
      <c r="C68" s="56"/>
      <c r="D68" s="63"/>
      <c r="E68" s="63"/>
      <c r="F68" s="163"/>
      <c r="G68" s="163"/>
      <c r="I68" s="141"/>
      <c r="J68" s="141"/>
      <c r="L68" s="96"/>
    </row>
    <row r="69" spans="1:12" ht="27">
      <c r="A69" s="103" t="s">
        <v>147</v>
      </c>
      <c r="B69" s="104">
        <v>1070</v>
      </c>
      <c r="C69" s="108">
        <v>5684</v>
      </c>
      <c r="D69" s="108">
        <f>796+5825.5</f>
        <v>6621.5</v>
      </c>
      <c r="E69" s="108">
        <f>SUM(E70:E76)</f>
        <v>4864</v>
      </c>
      <c r="F69" s="109">
        <f t="shared" si="0"/>
        <v>-1757.5</v>
      </c>
      <c r="G69" s="109">
        <f t="shared" si="1"/>
        <v>73.45767575322813</v>
      </c>
      <c r="I69" s="141">
        <f>E69/M12*100</f>
        <v>13.191223930789468</v>
      </c>
      <c r="J69" s="141"/>
      <c r="L69" s="96"/>
    </row>
    <row r="70" spans="1:12" ht="15">
      <c r="A70" s="35" t="s">
        <v>193</v>
      </c>
      <c r="B70" s="88" t="s">
        <v>168</v>
      </c>
      <c r="C70" s="65">
        <v>2773</v>
      </c>
      <c r="D70" s="163">
        <v>3036</v>
      </c>
      <c r="E70" s="162">
        <v>2111</v>
      </c>
      <c r="F70" s="163">
        <f t="shared" si="0"/>
        <v>-925</v>
      </c>
      <c r="G70" s="163">
        <f t="shared" si="1"/>
        <v>69.53227931488802</v>
      </c>
      <c r="I70" s="141"/>
      <c r="J70" s="141"/>
      <c r="L70" s="96"/>
    </row>
    <row r="71" spans="1:12" ht="15">
      <c r="A71" s="35" t="s">
        <v>59</v>
      </c>
      <c r="B71" s="88" t="s">
        <v>169</v>
      </c>
      <c r="C71" s="65">
        <v>763</v>
      </c>
      <c r="D71" s="61">
        <v>876</v>
      </c>
      <c r="E71" s="162">
        <v>1299</v>
      </c>
      <c r="F71" s="163">
        <f t="shared" si="0"/>
        <v>423</v>
      </c>
      <c r="G71" s="163">
        <f t="shared" si="1"/>
        <v>148.2876712328767</v>
      </c>
      <c r="I71" s="141"/>
      <c r="J71" s="141"/>
      <c r="L71" s="96"/>
    </row>
    <row r="72" spans="1:12" ht="15">
      <c r="A72" s="35" t="s">
        <v>163</v>
      </c>
      <c r="B72" s="88" t="s">
        <v>170</v>
      </c>
      <c r="C72" s="65"/>
      <c r="D72" s="61"/>
      <c r="E72" s="162"/>
      <c r="F72" s="163"/>
      <c r="G72" s="163"/>
      <c r="I72" s="141"/>
      <c r="J72" s="141"/>
      <c r="L72" s="96"/>
    </row>
    <row r="73" spans="1:12" ht="15">
      <c r="A73" s="35" t="s">
        <v>223</v>
      </c>
      <c r="B73" s="30" t="s">
        <v>171</v>
      </c>
      <c r="C73" s="65">
        <v>682</v>
      </c>
      <c r="D73" s="61">
        <f>796+1506.1</f>
        <v>2302.1</v>
      </c>
      <c r="E73" s="162">
        <v>1297</v>
      </c>
      <c r="F73" s="163">
        <f t="shared" si="0"/>
        <v>-1005.0999999999999</v>
      </c>
      <c r="G73" s="163">
        <f t="shared" si="1"/>
        <v>56.33986360279744</v>
      </c>
      <c r="I73" s="141"/>
      <c r="J73" s="141"/>
      <c r="L73" s="96"/>
    </row>
    <row r="74" spans="1:12" ht="15">
      <c r="A74" s="35" t="s">
        <v>164</v>
      </c>
      <c r="B74" s="30" t="s">
        <v>166</v>
      </c>
      <c r="C74" s="65">
        <v>36</v>
      </c>
      <c r="D74" s="61">
        <v>12</v>
      </c>
      <c r="E74" s="162">
        <v>14</v>
      </c>
      <c r="F74" s="163">
        <f t="shared" si="0"/>
        <v>2</v>
      </c>
      <c r="G74" s="163">
        <f t="shared" si="1"/>
        <v>116.66666666666667</v>
      </c>
      <c r="I74" s="141"/>
      <c r="J74" s="141"/>
      <c r="L74" s="96"/>
    </row>
    <row r="75" spans="1:12" ht="15">
      <c r="A75" s="35" t="s">
        <v>165</v>
      </c>
      <c r="B75" s="30" t="s">
        <v>172</v>
      </c>
      <c r="C75" s="52"/>
      <c r="D75" s="61"/>
      <c r="E75" s="162"/>
      <c r="F75" s="163"/>
      <c r="G75" s="163"/>
      <c r="I75" s="141"/>
      <c r="J75" s="141"/>
      <c r="L75" s="96"/>
    </row>
    <row r="76" spans="1:12" ht="15">
      <c r="A76" s="35" t="s">
        <v>211</v>
      </c>
      <c r="B76" s="30" t="s">
        <v>224</v>
      </c>
      <c r="C76" s="52">
        <v>1430</v>
      </c>
      <c r="D76" s="123">
        <v>395.4</v>
      </c>
      <c r="E76" s="162">
        <v>143</v>
      </c>
      <c r="F76" s="163">
        <f t="shared" si="0"/>
        <v>-252.39999999999998</v>
      </c>
      <c r="G76" s="163">
        <f t="shared" si="1"/>
        <v>36.165907941325244</v>
      </c>
      <c r="I76" s="141"/>
      <c r="J76" s="141"/>
      <c r="L76" s="96"/>
    </row>
    <row r="77" spans="1:12" s="39" customFormat="1" ht="27">
      <c r="A77" s="111" t="s">
        <v>201</v>
      </c>
      <c r="B77" s="104">
        <v>1080</v>
      </c>
      <c r="C77" s="110">
        <v>4783</v>
      </c>
      <c r="D77" s="110">
        <f>796+4937</f>
        <v>5733</v>
      </c>
      <c r="E77" s="110">
        <f>SUM(E78:E83)</f>
        <v>3803</v>
      </c>
      <c r="F77" s="109">
        <f aca="true" t="shared" si="2" ref="F77:F110">E77-D77</f>
        <v>-1930</v>
      </c>
      <c r="G77" s="109">
        <f aca="true" t="shared" si="3" ref="G77:G110">E77/D77*100</f>
        <v>66.33525204953776</v>
      </c>
      <c r="I77" s="143"/>
      <c r="J77" s="143">
        <f>E77/M13*100</f>
        <v>10.766661004473132</v>
      </c>
      <c r="K77" s="143"/>
      <c r="L77" s="96"/>
    </row>
    <row r="78" spans="1:12" ht="15">
      <c r="A78" s="3" t="s">
        <v>192</v>
      </c>
      <c r="B78" s="15" t="s">
        <v>183</v>
      </c>
      <c r="C78" s="59">
        <v>2786</v>
      </c>
      <c r="D78" s="61">
        <v>3036</v>
      </c>
      <c r="E78" s="162">
        <v>2123</v>
      </c>
      <c r="F78" s="163">
        <f t="shared" si="2"/>
        <v>-913</v>
      </c>
      <c r="G78" s="163">
        <f t="shared" si="3"/>
        <v>69.92753623188406</v>
      </c>
      <c r="I78" s="141"/>
      <c r="J78" s="141"/>
      <c r="L78" s="96"/>
    </row>
    <row r="79" spans="1:12" ht="15">
      <c r="A79" s="35" t="s">
        <v>223</v>
      </c>
      <c r="B79" s="15" t="s">
        <v>184</v>
      </c>
      <c r="C79" s="59">
        <v>267</v>
      </c>
      <c r="D79" s="61">
        <f>796+1506</f>
        <v>2302</v>
      </c>
      <c r="E79" s="162">
        <v>1286</v>
      </c>
      <c r="F79" s="163">
        <f t="shared" si="2"/>
        <v>-1016</v>
      </c>
      <c r="G79" s="163">
        <f t="shared" si="3"/>
        <v>55.86446568201564</v>
      </c>
      <c r="I79" s="141"/>
      <c r="J79" s="141"/>
      <c r="L79" s="96"/>
    </row>
    <row r="80" spans="1:12" ht="15">
      <c r="A80" s="3" t="s">
        <v>212</v>
      </c>
      <c r="B80" s="15" t="s">
        <v>185</v>
      </c>
      <c r="C80" s="59"/>
      <c r="D80" s="61"/>
      <c r="E80" s="162"/>
      <c r="F80" s="163"/>
      <c r="G80" s="163"/>
      <c r="I80" s="141"/>
      <c r="J80" s="141"/>
      <c r="L80" s="96"/>
    </row>
    <row r="81" spans="1:12" ht="15">
      <c r="A81" s="3" t="s">
        <v>213</v>
      </c>
      <c r="B81" s="15" t="s">
        <v>186</v>
      </c>
      <c r="C81" s="59">
        <v>1475</v>
      </c>
      <c r="D81" s="61">
        <v>395</v>
      </c>
      <c r="E81" s="162">
        <v>155</v>
      </c>
      <c r="F81" s="163">
        <f t="shared" si="2"/>
        <v>-240</v>
      </c>
      <c r="G81" s="163">
        <f t="shared" si="3"/>
        <v>39.24050632911392</v>
      </c>
      <c r="I81" s="141"/>
      <c r="J81" s="141"/>
      <c r="L81" s="96"/>
    </row>
    <row r="82" spans="1:12" ht="15">
      <c r="A82" s="3" t="s">
        <v>198</v>
      </c>
      <c r="B82" s="15" t="s">
        <v>187</v>
      </c>
      <c r="C82" s="59">
        <v>191</v>
      </c>
      <c r="D82" s="61"/>
      <c r="E82" s="162">
        <v>238</v>
      </c>
      <c r="F82" s="163">
        <f t="shared" si="2"/>
        <v>238</v>
      </c>
      <c r="G82" s="163"/>
      <c r="I82" s="141"/>
      <c r="J82" s="141"/>
      <c r="L82" s="96"/>
    </row>
    <row r="83" spans="1:12" ht="15">
      <c r="A83" s="3" t="s">
        <v>199</v>
      </c>
      <c r="B83" s="15" t="s">
        <v>214</v>
      </c>
      <c r="C83" s="59">
        <v>64</v>
      </c>
      <c r="D83" s="84"/>
      <c r="E83" s="162">
        <v>1</v>
      </c>
      <c r="F83" s="163">
        <f t="shared" si="2"/>
        <v>1</v>
      </c>
      <c r="G83" s="163"/>
      <c r="I83" s="141"/>
      <c r="J83" s="141"/>
      <c r="L83" s="96"/>
    </row>
    <row r="84" spans="1:12" ht="15">
      <c r="A84" s="100" t="s">
        <v>159</v>
      </c>
      <c r="B84" s="112" t="s">
        <v>267</v>
      </c>
      <c r="C84" s="113">
        <v>172.446</v>
      </c>
      <c r="D84" s="113">
        <v>132.81909000000022</v>
      </c>
      <c r="E84" s="113">
        <f>(E94-E95)*0.15</f>
        <v>190.773</v>
      </c>
      <c r="F84" s="166">
        <f t="shared" si="2"/>
        <v>57.95390999999978</v>
      </c>
      <c r="G84" s="166">
        <f t="shared" si="3"/>
        <v>143.63372012261166</v>
      </c>
      <c r="I84" s="141"/>
      <c r="J84" s="141"/>
      <c r="L84" s="96"/>
    </row>
    <row r="85" spans="1:12" s="39" customFormat="1" ht="27">
      <c r="A85" s="103" t="s">
        <v>31</v>
      </c>
      <c r="B85" s="104">
        <v>1100</v>
      </c>
      <c r="C85" s="114">
        <v>1556</v>
      </c>
      <c r="D85" s="125">
        <v>899.4599999999991</v>
      </c>
      <c r="E85" s="125">
        <f>E27-E28+E69-E77</f>
        <v>1538</v>
      </c>
      <c r="F85" s="109">
        <f t="shared" si="2"/>
        <v>638.5400000000009</v>
      </c>
      <c r="G85" s="109">
        <f t="shared" si="3"/>
        <v>170.99148377915654</v>
      </c>
      <c r="I85" s="143"/>
      <c r="J85" s="143"/>
      <c r="K85" s="143"/>
      <c r="L85" s="96"/>
    </row>
    <row r="86" spans="1:12" ht="27">
      <c r="A86" s="3" t="s">
        <v>32</v>
      </c>
      <c r="B86" s="94">
        <v>1110</v>
      </c>
      <c r="C86" s="59"/>
      <c r="D86" s="59"/>
      <c r="E86" s="59"/>
      <c r="F86" s="163"/>
      <c r="G86" s="163"/>
      <c r="I86" s="141"/>
      <c r="J86" s="141"/>
      <c r="L86" s="96"/>
    </row>
    <row r="87" spans="1:12" ht="27">
      <c r="A87" s="3" t="s">
        <v>33</v>
      </c>
      <c r="B87" s="94">
        <v>1120</v>
      </c>
      <c r="C87" s="59"/>
      <c r="D87" s="59"/>
      <c r="E87" s="59"/>
      <c r="F87" s="163"/>
      <c r="G87" s="163"/>
      <c r="I87" s="141"/>
      <c r="J87" s="141"/>
      <c r="L87" s="96"/>
    </row>
    <row r="88" spans="1:12" ht="7.5" customHeight="1" hidden="1">
      <c r="A88" s="3"/>
      <c r="B88" s="94"/>
      <c r="C88" s="59"/>
      <c r="D88" s="63"/>
      <c r="E88" s="63"/>
      <c r="F88" s="163"/>
      <c r="G88" s="163"/>
      <c r="I88" s="141"/>
      <c r="J88" s="141"/>
      <c r="L88" s="96"/>
    </row>
    <row r="89" spans="1:12" ht="8.25" customHeight="1" hidden="1">
      <c r="A89" s="3"/>
      <c r="B89" s="94"/>
      <c r="C89" s="59"/>
      <c r="D89" s="59"/>
      <c r="E89" s="59"/>
      <c r="F89" s="163"/>
      <c r="G89" s="163"/>
      <c r="I89" s="141"/>
      <c r="J89" s="141"/>
      <c r="L89" s="96"/>
    </row>
    <row r="90" spans="1:12" ht="15">
      <c r="A90" s="3" t="s">
        <v>34</v>
      </c>
      <c r="B90" s="94">
        <v>1130</v>
      </c>
      <c r="C90" s="59"/>
      <c r="D90" s="62"/>
      <c r="E90" s="62"/>
      <c r="F90" s="163"/>
      <c r="G90" s="163"/>
      <c r="I90" s="141"/>
      <c r="J90" s="141"/>
      <c r="L90" s="96"/>
    </row>
    <row r="91" spans="1:12" ht="15">
      <c r="A91" s="3" t="s">
        <v>35</v>
      </c>
      <c r="B91" s="94">
        <v>1140</v>
      </c>
      <c r="C91" s="59"/>
      <c r="D91" s="63"/>
      <c r="E91" s="63"/>
      <c r="F91" s="163"/>
      <c r="G91" s="163"/>
      <c r="I91" s="141"/>
      <c r="J91" s="141"/>
      <c r="L91" s="96"/>
    </row>
    <row r="92" spans="1:12" s="39" customFormat="1" ht="15">
      <c r="A92" s="103" t="s">
        <v>173</v>
      </c>
      <c r="B92" s="104">
        <v>1150</v>
      </c>
      <c r="C92" s="110">
        <v>3276</v>
      </c>
      <c r="D92" s="110">
        <f>3417</f>
        <v>3417</v>
      </c>
      <c r="E92" s="167">
        <v>3650</v>
      </c>
      <c r="F92" s="109">
        <f t="shared" si="2"/>
        <v>233</v>
      </c>
      <c r="G92" s="109">
        <f t="shared" si="3"/>
        <v>106.81884694176178</v>
      </c>
      <c r="I92" s="143">
        <f>E92/M12*100</f>
        <v>9.898841971089958</v>
      </c>
      <c r="J92" s="143"/>
      <c r="K92" s="143"/>
      <c r="L92" s="96"/>
    </row>
    <row r="93" spans="1:12" s="39" customFormat="1" ht="15">
      <c r="A93" s="103" t="s">
        <v>174</v>
      </c>
      <c r="B93" s="104">
        <v>1160</v>
      </c>
      <c r="C93" s="110">
        <v>3430</v>
      </c>
      <c r="D93" s="115">
        <f>3403</f>
        <v>3403</v>
      </c>
      <c r="E93" s="167">
        <v>3637</v>
      </c>
      <c r="F93" s="109">
        <f t="shared" si="2"/>
        <v>234</v>
      </c>
      <c r="G93" s="109">
        <f t="shared" si="3"/>
        <v>106.87628563032618</v>
      </c>
      <c r="I93" s="143"/>
      <c r="J93" s="143">
        <f>E93/E101*100</f>
        <v>10.296698941169808</v>
      </c>
      <c r="K93" s="143"/>
      <c r="L93" s="96"/>
    </row>
    <row r="94" spans="1:12" s="39" customFormat="1" ht="27">
      <c r="A94" s="103" t="s">
        <v>36</v>
      </c>
      <c r="B94" s="104">
        <v>1170</v>
      </c>
      <c r="C94" s="110">
        <v>1402</v>
      </c>
      <c r="D94" s="110">
        <v>913.4599999999991</v>
      </c>
      <c r="E94" s="110">
        <f>E100-E101</f>
        <v>1551</v>
      </c>
      <c r="F94" s="109">
        <f t="shared" si="2"/>
        <v>637.5400000000009</v>
      </c>
      <c r="G94" s="109">
        <f t="shared" si="3"/>
        <v>169.79397017931836</v>
      </c>
      <c r="I94" s="143">
        <f>SUM(I12:I93)</f>
        <v>100</v>
      </c>
      <c r="J94" s="143">
        <f>SUM(J12:J93)</f>
        <v>100.00000000000001</v>
      </c>
      <c r="K94" s="143"/>
      <c r="L94" s="96"/>
    </row>
    <row r="95" spans="1:12" ht="15">
      <c r="A95" s="3" t="s">
        <v>37</v>
      </c>
      <c r="B95" s="15">
        <v>1180</v>
      </c>
      <c r="C95" s="61">
        <v>252.35999999999999</v>
      </c>
      <c r="D95" s="61">
        <v>164.42279999999982</v>
      </c>
      <c r="E95" s="61">
        <f>E94*0.18</f>
        <v>279.18</v>
      </c>
      <c r="F95" s="163">
        <f t="shared" si="2"/>
        <v>114.75720000000018</v>
      </c>
      <c r="G95" s="163">
        <f t="shared" si="3"/>
        <v>169.7939701793184</v>
      </c>
      <c r="L95" s="96"/>
    </row>
    <row r="96" spans="1:12" ht="15">
      <c r="A96" s="3" t="s">
        <v>38</v>
      </c>
      <c r="B96" s="15">
        <v>1181</v>
      </c>
      <c r="C96" s="59"/>
      <c r="D96" s="59"/>
      <c r="E96" s="59"/>
      <c r="F96" s="163"/>
      <c r="G96" s="163"/>
      <c r="L96" s="96"/>
    </row>
    <row r="97" spans="1:12" s="39" customFormat="1" ht="27">
      <c r="A97" s="103" t="s">
        <v>39</v>
      </c>
      <c r="B97" s="104">
        <v>1200</v>
      </c>
      <c r="C97" s="110">
        <v>1149.64</v>
      </c>
      <c r="D97" s="110">
        <v>749.0371999999993</v>
      </c>
      <c r="E97" s="110">
        <f>E98</f>
        <v>1271.82</v>
      </c>
      <c r="F97" s="109">
        <f t="shared" si="2"/>
        <v>522.7828000000006</v>
      </c>
      <c r="G97" s="109">
        <f t="shared" si="3"/>
        <v>169.79397017931834</v>
      </c>
      <c r="K97" s="143"/>
      <c r="L97" s="96"/>
    </row>
    <row r="98" spans="1:12" ht="15">
      <c r="A98" s="3" t="s">
        <v>40</v>
      </c>
      <c r="B98" s="30">
        <v>1201</v>
      </c>
      <c r="C98" s="59">
        <v>1149.64</v>
      </c>
      <c r="D98" s="59">
        <v>749.0371999999993</v>
      </c>
      <c r="E98" s="59">
        <f>E94-E95</f>
        <v>1271.82</v>
      </c>
      <c r="F98" s="163">
        <f t="shared" si="2"/>
        <v>522.7828000000006</v>
      </c>
      <c r="G98" s="163">
        <f t="shared" si="3"/>
        <v>169.79397017931834</v>
      </c>
      <c r="L98" s="96"/>
    </row>
    <row r="99" spans="1:12" ht="15">
      <c r="A99" s="3" t="s">
        <v>41</v>
      </c>
      <c r="B99" s="30">
        <v>1202</v>
      </c>
      <c r="C99" s="59"/>
      <c r="D99" s="62"/>
      <c r="E99" s="62"/>
      <c r="F99" s="163"/>
      <c r="G99" s="163"/>
      <c r="L99" s="96"/>
    </row>
    <row r="100" spans="1:12" s="39" customFormat="1" ht="15">
      <c r="A100" s="103" t="s">
        <v>42</v>
      </c>
      <c r="B100" s="104">
        <v>1210</v>
      </c>
      <c r="C100" s="110">
        <v>36106</v>
      </c>
      <c r="D100" s="110">
        <f>796+42347.5</f>
        <v>43143.5</v>
      </c>
      <c r="E100" s="110">
        <f>E92+E69+E12</f>
        <v>36873</v>
      </c>
      <c r="F100" s="109">
        <f t="shared" si="2"/>
        <v>-6270.5</v>
      </c>
      <c r="G100" s="109">
        <f t="shared" si="3"/>
        <v>85.46594504386525</v>
      </c>
      <c r="K100" s="143"/>
      <c r="L100" s="96"/>
    </row>
    <row r="101" spans="1:12" s="39" customFormat="1" ht="15">
      <c r="A101" s="103" t="s">
        <v>43</v>
      </c>
      <c r="B101" s="104">
        <v>1220</v>
      </c>
      <c r="C101" s="110">
        <v>34704</v>
      </c>
      <c r="D101" s="110">
        <f>796+41434.04</f>
        <v>42230.04</v>
      </c>
      <c r="E101" s="110">
        <f>E93+E77+E28+E13</f>
        <v>35322</v>
      </c>
      <c r="F101" s="109">
        <f t="shared" si="2"/>
        <v>-6908.040000000001</v>
      </c>
      <c r="G101" s="109">
        <f t="shared" si="3"/>
        <v>83.64188146636849</v>
      </c>
      <c r="K101" s="143"/>
      <c r="L101" s="96"/>
    </row>
    <row r="102" spans="1:12" ht="14.25" customHeight="1">
      <c r="A102" s="274" t="s">
        <v>136</v>
      </c>
      <c r="B102" s="274"/>
      <c r="C102" s="274"/>
      <c r="D102" s="274"/>
      <c r="E102" s="48"/>
      <c r="F102" s="163"/>
      <c r="G102" s="163"/>
      <c r="L102" s="96"/>
    </row>
    <row r="103" spans="1:12" s="39" customFormat="1" ht="15">
      <c r="A103" s="116" t="s">
        <v>148</v>
      </c>
      <c r="B103" s="104">
        <v>1300</v>
      </c>
      <c r="C103" s="105">
        <v>7103</v>
      </c>
      <c r="D103" s="108">
        <v>8205</v>
      </c>
      <c r="E103" s="108">
        <f>E104+E105</f>
        <v>7161</v>
      </c>
      <c r="F103" s="109">
        <f t="shared" si="2"/>
        <v>-1044</v>
      </c>
      <c r="G103" s="109">
        <f t="shared" si="3"/>
        <v>87.27605118829982</v>
      </c>
      <c r="K103" s="143"/>
      <c r="L103" s="96"/>
    </row>
    <row r="104" spans="1:18" ht="27">
      <c r="A104" s="3" t="s">
        <v>6</v>
      </c>
      <c r="B104" s="30">
        <v>1301</v>
      </c>
      <c r="C104" s="65">
        <v>1371</v>
      </c>
      <c r="D104" s="65">
        <v>1647</v>
      </c>
      <c r="E104" s="65">
        <f>1412+325</f>
        <v>1737</v>
      </c>
      <c r="F104" s="163">
        <f t="shared" si="2"/>
        <v>90</v>
      </c>
      <c r="G104" s="163">
        <f t="shared" si="3"/>
        <v>105.46448087431695</v>
      </c>
      <c r="L104" s="96"/>
      <c r="R104" s="46">
        <f>4122-Q105</f>
        <v>1737</v>
      </c>
    </row>
    <row r="105" spans="1:18" ht="15">
      <c r="A105" s="3" t="s">
        <v>207</v>
      </c>
      <c r="B105" s="30">
        <v>1302</v>
      </c>
      <c r="C105" s="65">
        <v>5732</v>
      </c>
      <c r="D105" s="65">
        <v>6558</v>
      </c>
      <c r="E105" s="65">
        <f>2385+(806+2123+79+31)</f>
        <v>5424</v>
      </c>
      <c r="F105" s="163">
        <f t="shared" si="2"/>
        <v>-1134</v>
      </c>
      <c r="G105" s="163">
        <f t="shared" si="3"/>
        <v>82.708142726441</v>
      </c>
      <c r="L105" s="96"/>
      <c r="P105" s="255" t="s">
        <v>307</v>
      </c>
      <c r="Q105" s="46">
        <v>2385</v>
      </c>
      <c r="R105" s="96">
        <f>E105-Q105</f>
        <v>3039</v>
      </c>
    </row>
    <row r="106" spans="1:17" ht="15">
      <c r="A106" s="3" t="s">
        <v>9</v>
      </c>
      <c r="B106" s="94">
        <v>1310</v>
      </c>
      <c r="C106" s="65">
        <v>14183</v>
      </c>
      <c r="D106" s="66">
        <v>18012</v>
      </c>
      <c r="E106" s="66">
        <v>15828</v>
      </c>
      <c r="F106" s="163">
        <f t="shared" si="2"/>
        <v>-2184</v>
      </c>
      <c r="G106" s="163">
        <f t="shared" si="3"/>
        <v>87.87475016655563</v>
      </c>
      <c r="L106" s="96"/>
      <c r="O106" s="253"/>
      <c r="Q106" s="96"/>
    </row>
    <row r="107" spans="1:15" ht="15">
      <c r="A107" s="3" t="s">
        <v>10</v>
      </c>
      <c r="B107" s="94">
        <v>1320</v>
      </c>
      <c r="C107" s="65">
        <v>3007</v>
      </c>
      <c r="D107" s="121">
        <v>3962</v>
      </c>
      <c r="E107" s="121">
        <v>3403</v>
      </c>
      <c r="F107" s="163">
        <f t="shared" si="2"/>
        <v>-559</v>
      </c>
      <c r="G107" s="163">
        <f t="shared" si="3"/>
        <v>85.89096415951539</v>
      </c>
      <c r="L107" s="96"/>
      <c r="O107" s="254"/>
    </row>
    <row r="108" spans="1:12" ht="15">
      <c r="A108" s="3" t="s">
        <v>137</v>
      </c>
      <c r="B108" s="94">
        <v>1330</v>
      </c>
      <c r="C108" s="65">
        <v>3426</v>
      </c>
      <c r="D108" s="65">
        <v>3518</v>
      </c>
      <c r="E108" s="65">
        <v>3830</v>
      </c>
      <c r="F108" s="163">
        <f t="shared" si="2"/>
        <v>312</v>
      </c>
      <c r="G108" s="163">
        <f t="shared" si="3"/>
        <v>108.86867538374077</v>
      </c>
      <c r="L108" s="96"/>
    </row>
    <row r="109" spans="1:12" ht="15">
      <c r="A109" s="3" t="s">
        <v>138</v>
      </c>
      <c r="B109" s="94">
        <v>1340</v>
      </c>
      <c r="C109" s="65">
        <v>6985</v>
      </c>
      <c r="D109" s="64">
        <f>796+7737</f>
        <v>8533</v>
      </c>
      <c r="E109" s="64">
        <f>8139-3039</f>
        <v>5100</v>
      </c>
      <c r="F109" s="163">
        <f t="shared" si="2"/>
        <v>-3433</v>
      </c>
      <c r="G109" s="163">
        <f t="shared" si="3"/>
        <v>59.767959685925234</v>
      </c>
      <c r="L109" s="96"/>
    </row>
    <row r="110" spans="1:12" s="39" customFormat="1" ht="15">
      <c r="A110" s="103" t="s">
        <v>139</v>
      </c>
      <c r="B110" s="104">
        <v>1350</v>
      </c>
      <c r="C110" s="168">
        <v>34704</v>
      </c>
      <c r="D110" s="125">
        <f>796+41434</f>
        <v>42230</v>
      </c>
      <c r="E110" s="125">
        <f>SUM(E104:E109)</f>
        <v>35322</v>
      </c>
      <c r="F110" s="109">
        <f t="shared" si="2"/>
        <v>-6908</v>
      </c>
      <c r="G110" s="109">
        <f t="shared" si="3"/>
        <v>83.64196069145157</v>
      </c>
      <c r="K110" s="143"/>
      <c r="L110" s="96"/>
    </row>
    <row r="111" spans="3:7" ht="15">
      <c r="C111" s="49"/>
      <c r="D111" s="96"/>
      <c r="E111" s="96"/>
      <c r="F111" s="96"/>
      <c r="G111" s="96"/>
    </row>
    <row r="112" ht="15">
      <c r="C112" s="49"/>
    </row>
    <row r="113" spans="1:8" s="73" customFormat="1" ht="13.5">
      <c r="A113" s="8" t="s">
        <v>180</v>
      </c>
      <c r="B113" s="271" t="s">
        <v>303</v>
      </c>
      <c r="C113" s="272"/>
      <c r="D113" s="272"/>
      <c r="E113" s="273"/>
      <c r="F113" s="273"/>
      <c r="G113" s="250"/>
      <c r="H113" s="250"/>
    </row>
    <row r="114" spans="1:8" s="73" customFormat="1" ht="13.5">
      <c r="A114" s="8"/>
      <c r="B114" s="41"/>
      <c r="C114" s="42"/>
      <c r="D114" s="42"/>
      <c r="E114" s="250"/>
      <c r="F114" s="250"/>
      <c r="G114" s="250"/>
      <c r="H114" s="250"/>
    </row>
    <row r="115" spans="1:8" s="73" customFormat="1" ht="18" customHeight="1">
      <c r="A115" s="8" t="s">
        <v>144</v>
      </c>
      <c r="B115" s="271" t="s">
        <v>304</v>
      </c>
      <c r="C115" s="272"/>
      <c r="D115" s="272"/>
      <c r="E115" s="273"/>
      <c r="F115" s="273"/>
      <c r="G115" s="250"/>
      <c r="H115" s="250"/>
    </row>
    <row r="116" spans="3:11" s="9" customFormat="1" ht="13.5">
      <c r="C116" s="92"/>
      <c r="K116" s="144"/>
    </row>
    <row r="117" spans="4:7" ht="15">
      <c r="D117" s="50"/>
      <c r="E117" s="50"/>
      <c r="F117" s="50"/>
      <c r="G117" s="50"/>
    </row>
    <row r="119" ht="15">
      <c r="C119" s="51"/>
    </row>
    <row r="120" ht="15">
      <c r="C120" s="51"/>
    </row>
  </sheetData>
  <sheetProtection/>
  <mergeCells count="15">
    <mergeCell ref="B115:F115"/>
    <mergeCell ref="F8:F9"/>
    <mergeCell ref="G8:G9"/>
    <mergeCell ref="A1:G1"/>
    <mergeCell ref="A2:G2"/>
    <mergeCell ref="A3:G3"/>
    <mergeCell ref="A4:G4"/>
    <mergeCell ref="A6:G6"/>
    <mergeCell ref="A8:A9"/>
    <mergeCell ref="B8:B9"/>
    <mergeCell ref="C8:C9"/>
    <mergeCell ref="D8:D9"/>
    <mergeCell ref="E8:E9"/>
    <mergeCell ref="B113:F113"/>
    <mergeCell ref="A102:D102"/>
  </mergeCells>
  <printOptions/>
  <pageMargins left="1.1811023622047245" right="0.1968503937007874" top="0.35433070866141736" bottom="0.35433070866141736" header="0.31496062992125984" footer="0.31496062992125984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C25" sqref="C25:C35"/>
    </sheetView>
  </sheetViews>
  <sheetFormatPr defaultColWidth="9.140625" defaultRowHeight="12.75"/>
  <cols>
    <col min="1" max="1" width="38.7109375" style="73" customWidth="1"/>
    <col min="2" max="2" width="6.00390625" style="73" customWidth="1"/>
    <col min="3" max="3" width="10.00390625" style="74" customWidth="1"/>
    <col min="4" max="7" width="10.00390625" style="73" customWidth="1"/>
    <col min="8" max="8" width="9.140625" style="136" customWidth="1"/>
    <col min="9" max="16384" width="9.140625" style="73" customWidth="1"/>
  </cols>
  <sheetData>
    <row r="1" spans="3:8" ht="13.5">
      <c r="C1" s="157"/>
      <c r="D1" s="157"/>
      <c r="E1" s="157"/>
      <c r="F1" s="157"/>
      <c r="G1" s="157" t="s">
        <v>125</v>
      </c>
      <c r="H1" s="73"/>
    </row>
    <row r="2" spans="1:8" ht="15">
      <c r="A2" s="285" t="s">
        <v>296</v>
      </c>
      <c r="B2" s="285"/>
      <c r="C2" s="285"/>
      <c r="D2" s="285"/>
      <c r="E2" s="285"/>
      <c r="F2" s="285"/>
      <c r="G2" s="285"/>
      <c r="H2" s="73"/>
    </row>
    <row r="3" spans="1:8" ht="12" customHeight="1">
      <c r="A3" s="149"/>
      <c r="B3" s="158"/>
      <c r="C3" s="196"/>
      <c r="D3" s="196"/>
      <c r="E3" s="197"/>
      <c r="F3" s="196"/>
      <c r="G3" s="196"/>
      <c r="H3" s="73"/>
    </row>
    <row r="4" spans="1:8" s="32" customFormat="1" ht="15" customHeight="1">
      <c r="A4" s="287" t="s">
        <v>1</v>
      </c>
      <c r="B4" s="288" t="s">
        <v>2</v>
      </c>
      <c r="C4" s="267" t="s">
        <v>287</v>
      </c>
      <c r="D4" s="265" t="s">
        <v>290</v>
      </c>
      <c r="E4" s="289" t="s">
        <v>291</v>
      </c>
      <c r="F4" s="279" t="s">
        <v>288</v>
      </c>
      <c r="G4" s="279" t="s">
        <v>289</v>
      </c>
      <c r="H4" s="173"/>
    </row>
    <row r="5" spans="1:8" s="32" customFormat="1" ht="57" customHeight="1">
      <c r="A5" s="287"/>
      <c r="B5" s="288"/>
      <c r="C5" s="268"/>
      <c r="D5" s="266"/>
      <c r="E5" s="290"/>
      <c r="F5" s="280"/>
      <c r="G5" s="280"/>
      <c r="H5" s="173"/>
    </row>
    <row r="6" spans="1:8" s="32" customFormat="1" ht="12.75">
      <c r="A6" s="31">
        <v>1</v>
      </c>
      <c r="B6" s="43">
        <v>2</v>
      </c>
      <c r="C6" s="45">
        <v>3</v>
      </c>
      <c r="D6" s="15">
        <v>4</v>
      </c>
      <c r="E6" s="14">
        <v>6</v>
      </c>
      <c r="F6" s="15">
        <v>7</v>
      </c>
      <c r="G6" s="15">
        <v>8</v>
      </c>
      <c r="H6" s="173"/>
    </row>
    <row r="7" spans="1:8" s="32" customFormat="1" ht="13.5">
      <c r="A7" s="281" t="s">
        <v>44</v>
      </c>
      <c r="B7" s="282"/>
      <c r="C7" s="282"/>
      <c r="D7" s="282"/>
      <c r="E7" s="283"/>
      <c r="F7" s="283"/>
      <c r="G7" s="284"/>
      <c r="H7" s="173"/>
    </row>
    <row r="8" spans="1:8" s="32" customFormat="1" ht="41.25">
      <c r="A8" s="126" t="s">
        <v>45</v>
      </c>
      <c r="B8" s="128">
        <v>2000</v>
      </c>
      <c r="C8" s="175">
        <v>-6999</v>
      </c>
      <c r="D8" s="105">
        <v>-6346</v>
      </c>
      <c r="E8" s="182">
        <f>C15</f>
        <v>-6021</v>
      </c>
      <c r="F8" s="185">
        <f>E8-D8</f>
        <v>325</v>
      </c>
      <c r="G8" s="188">
        <f>E8/D8*100</f>
        <v>94.87866372518121</v>
      </c>
      <c r="H8" s="174"/>
    </row>
    <row r="9" spans="1:8" s="32" customFormat="1" ht="27">
      <c r="A9" s="79" t="s">
        <v>152</v>
      </c>
      <c r="B9" s="30">
        <v>2010</v>
      </c>
      <c r="C9" s="65"/>
      <c r="D9" s="54"/>
      <c r="E9" s="183"/>
      <c r="F9" s="186"/>
      <c r="G9" s="189"/>
      <c r="H9" s="174"/>
    </row>
    <row r="10" spans="1:8" s="32" customFormat="1" ht="13.5">
      <c r="A10" s="79" t="s">
        <v>46</v>
      </c>
      <c r="B10" s="30">
        <v>2030</v>
      </c>
      <c r="C10" s="65"/>
      <c r="D10" s="54"/>
      <c r="E10" s="183"/>
      <c r="F10" s="186"/>
      <c r="G10" s="189"/>
      <c r="H10" s="174"/>
    </row>
    <row r="11" spans="1:8" s="32" customFormat="1" ht="27">
      <c r="A11" s="79" t="s">
        <v>47</v>
      </c>
      <c r="B11" s="30">
        <v>2031</v>
      </c>
      <c r="C11" s="65"/>
      <c r="D11" s="54"/>
      <c r="E11" s="183"/>
      <c r="F11" s="186"/>
      <c r="G11" s="189"/>
      <c r="H11" s="174"/>
    </row>
    <row r="12" spans="1:8" s="32" customFormat="1" ht="13.5">
      <c r="A12" s="79" t="s">
        <v>48</v>
      </c>
      <c r="B12" s="30">
        <v>2040</v>
      </c>
      <c r="C12" s="65"/>
      <c r="D12" s="95"/>
      <c r="E12" s="183"/>
      <c r="F12" s="186"/>
      <c r="G12" s="189"/>
      <c r="H12" s="174"/>
    </row>
    <row r="13" spans="1:8" s="32" customFormat="1" ht="13.5">
      <c r="A13" s="79" t="s">
        <v>49</v>
      </c>
      <c r="B13" s="30">
        <v>2050</v>
      </c>
      <c r="C13" s="65"/>
      <c r="D13" s="54"/>
      <c r="E13" s="183"/>
      <c r="F13" s="186"/>
      <c r="G13" s="189"/>
      <c r="H13" s="174"/>
    </row>
    <row r="14" spans="1:8" s="32" customFormat="1" ht="13.5">
      <c r="A14" s="79" t="s">
        <v>50</v>
      </c>
      <c r="B14" s="30">
        <v>2060</v>
      </c>
      <c r="C14" s="65"/>
      <c r="D14" s="54"/>
      <c r="E14" s="183"/>
      <c r="F14" s="186"/>
      <c r="G14" s="189"/>
      <c r="H14" s="174"/>
    </row>
    <row r="15" spans="1:8" s="32" customFormat="1" ht="41.25">
      <c r="A15" s="126" t="s">
        <v>51</v>
      </c>
      <c r="B15" s="128">
        <v>2070</v>
      </c>
      <c r="C15" s="175">
        <v>-6021</v>
      </c>
      <c r="D15" s="105">
        <v>-5730</v>
      </c>
      <c r="E15" s="184" t="s">
        <v>295</v>
      </c>
      <c r="F15" s="185">
        <f>E15-D15</f>
        <v>790</v>
      </c>
      <c r="G15" s="188">
        <f>E15/D15*100</f>
        <v>86.2129144851658</v>
      </c>
      <c r="H15" s="174"/>
    </row>
    <row r="16" spans="1:8" s="32" customFormat="1" ht="13.5">
      <c r="A16" s="286" t="s">
        <v>52</v>
      </c>
      <c r="B16" s="286"/>
      <c r="C16" s="286"/>
      <c r="D16" s="286"/>
      <c r="E16" s="178"/>
      <c r="F16" s="186"/>
      <c r="G16" s="189"/>
      <c r="H16" s="174"/>
    </row>
    <row r="17" spans="1:8" s="32" customFormat="1" ht="41.25">
      <c r="A17" s="126" t="s">
        <v>151</v>
      </c>
      <c r="B17" s="128">
        <v>2110</v>
      </c>
      <c r="C17" s="176">
        <v>4258.5</v>
      </c>
      <c r="D17" s="176">
        <v>4765</v>
      </c>
      <c r="E17" s="177">
        <f>SUM(E18:E23)</f>
        <v>5077</v>
      </c>
      <c r="F17" s="185">
        <f>E17-D17</f>
        <v>312</v>
      </c>
      <c r="G17" s="188">
        <f>E17/D17*100</f>
        <v>106.54774396642182</v>
      </c>
      <c r="H17" s="174"/>
    </row>
    <row r="18" spans="1:8" s="32" customFormat="1" ht="13.5">
      <c r="A18" s="3" t="s">
        <v>53</v>
      </c>
      <c r="B18" s="30">
        <v>2111</v>
      </c>
      <c r="C18" s="138"/>
      <c r="D18" s="140"/>
      <c r="E18" s="178"/>
      <c r="F18" s="186"/>
      <c r="G18" s="189"/>
      <c r="H18" s="174"/>
    </row>
    <row r="19" spans="1:8" s="32" customFormat="1" ht="27">
      <c r="A19" s="3" t="s">
        <v>126</v>
      </c>
      <c r="B19" s="30">
        <v>2112</v>
      </c>
      <c r="C19" s="138">
        <v>4049</v>
      </c>
      <c r="D19" s="140">
        <v>4495</v>
      </c>
      <c r="E19" s="178">
        <v>4835</v>
      </c>
      <c r="F19" s="186">
        <f>E19-D19</f>
        <v>340</v>
      </c>
      <c r="G19" s="189">
        <f>E19/D19*100</f>
        <v>107.56395995550612</v>
      </c>
      <c r="H19" s="174"/>
    </row>
    <row r="20" spans="1:8" s="32" customFormat="1" ht="27">
      <c r="A20" s="79" t="s">
        <v>127</v>
      </c>
      <c r="B20" s="31">
        <v>2113</v>
      </c>
      <c r="C20" s="138"/>
      <c r="D20" s="140"/>
      <c r="E20" s="178"/>
      <c r="F20" s="186"/>
      <c r="G20" s="189"/>
      <c r="H20" s="174"/>
    </row>
    <row r="21" spans="1:8" s="32" customFormat="1" ht="13.5">
      <c r="A21" s="79" t="s">
        <v>54</v>
      </c>
      <c r="B21" s="31">
        <v>2114</v>
      </c>
      <c r="C21" s="138"/>
      <c r="D21" s="140"/>
      <c r="E21" s="178"/>
      <c r="F21" s="186"/>
      <c r="G21" s="189"/>
      <c r="H21" s="174"/>
    </row>
    <row r="22" spans="1:8" s="32" customFormat="1" ht="13.5">
      <c r="A22" s="79" t="s">
        <v>55</v>
      </c>
      <c r="B22" s="31">
        <v>2115</v>
      </c>
      <c r="C22" s="138"/>
      <c r="D22" s="140"/>
      <c r="E22" s="178"/>
      <c r="F22" s="186"/>
      <c r="G22" s="189"/>
      <c r="H22" s="174"/>
    </row>
    <row r="23" spans="1:8" s="32" customFormat="1" ht="13.5">
      <c r="A23" s="79" t="s">
        <v>56</v>
      </c>
      <c r="B23" s="31">
        <v>2116</v>
      </c>
      <c r="C23" s="7">
        <v>209.5</v>
      </c>
      <c r="D23" s="140">
        <v>270</v>
      </c>
      <c r="E23" s="178">
        <v>242</v>
      </c>
      <c r="F23" s="186">
        <f>E23-D23</f>
        <v>-28</v>
      </c>
      <c r="G23" s="189">
        <f>E23/D23*100</f>
        <v>89.62962962962962</v>
      </c>
      <c r="H23" s="174"/>
    </row>
    <row r="24" spans="1:8" s="32" customFormat="1" ht="13.5">
      <c r="A24" s="79" t="s">
        <v>215</v>
      </c>
      <c r="B24" s="31" t="s">
        <v>145</v>
      </c>
      <c r="C24" s="138">
        <v>209.5</v>
      </c>
      <c r="D24" s="140">
        <v>270</v>
      </c>
      <c r="E24" s="180">
        <v>242</v>
      </c>
      <c r="F24" s="186">
        <f>E24-D24</f>
        <v>-28</v>
      </c>
      <c r="G24" s="189">
        <f>E24/D24*100</f>
        <v>89.62962962962962</v>
      </c>
      <c r="H24" s="174"/>
    </row>
    <row r="25" spans="1:8" s="194" customFormat="1" ht="41.25">
      <c r="A25" s="126" t="s">
        <v>57</v>
      </c>
      <c r="B25" s="127">
        <v>2120</v>
      </c>
      <c r="C25" s="176">
        <v>3589.7</v>
      </c>
      <c r="D25" s="176">
        <v>4222.24189</v>
      </c>
      <c r="E25" s="177">
        <f>SUM(E26:E35)</f>
        <v>4200</v>
      </c>
      <c r="F25" s="185">
        <f>E25-D25</f>
        <v>-22.24189000000024</v>
      </c>
      <c r="G25" s="188">
        <f>E25/D25*100</f>
        <v>99.4732208485573</v>
      </c>
      <c r="H25" s="193"/>
    </row>
    <row r="26" spans="1:8" s="32" customFormat="1" ht="13.5">
      <c r="A26" s="79" t="s">
        <v>55</v>
      </c>
      <c r="B26" s="31">
        <v>2121</v>
      </c>
      <c r="C26" s="138">
        <v>2606</v>
      </c>
      <c r="D26" s="140">
        <v>3242</v>
      </c>
      <c r="E26" s="178">
        <v>2827</v>
      </c>
      <c r="F26" s="186">
        <f>E26-D26</f>
        <v>-415</v>
      </c>
      <c r="G26" s="189">
        <f>E26/D26*100</f>
        <v>87.19925971622456</v>
      </c>
      <c r="H26" s="174"/>
    </row>
    <row r="27" spans="1:8" s="32" customFormat="1" ht="13.5">
      <c r="A27" s="79" t="s">
        <v>58</v>
      </c>
      <c r="B27" s="31">
        <v>2122</v>
      </c>
      <c r="C27" s="138">
        <v>4</v>
      </c>
      <c r="D27" s="140">
        <v>7</v>
      </c>
      <c r="E27" s="180">
        <v>6</v>
      </c>
      <c r="F27" s="186">
        <f>E27-D27</f>
        <v>-1</v>
      </c>
      <c r="G27" s="189">
        <f>E27/D27*100</f>
        <v>85.71428571428571</v>
      </c>
      <c r="H27" s="174"/>
    </row>
    <row r="28" spans="1:8" s="32" customFormat="1" ht="13.5">
      <c r="A28" s="79" t="s">
        <v>59</v>
      </c>
      <c r="B28" s="31">
        <v>2123</v>
      </c>
      <c r="C28" s="138"/>
      <c r="D28" s="140"/>
      <c r="E28" s="180">
        <v>219</v>
      </c>
      <c r="F28" s="186"/>
      <c r="G28" s="189"/>
      <c r="H28" s="174"/>
    </row>
    <row r="29" spans="1:8" s="32" customFormat="1" ht="13.5">
      <c r="A29" s="79" t="s">
        <v>56</v>
      </c>
      <c r="B29" s="31">
        <v>2124</v>
      </c>
      <c r="C29" s="138"/>
      <c r="D29" s="140"/>
      <c r="E29" s="180"/>
      <c r="F29" s="186"/>
      <c r="G29" s="189"/>
      <c r="H29" s="174"/>
    </row>
    <row r="30" spans="1:8" s="32" customFormat="1" ht="13.5">
      <c r="A30" s="79" t="s">
        <v>157</v>
      </c>
      <c r="B30" s="31" t="s">
        <v>242</v>
      </c>
      <c r="C30" s="138">
        <v>584</v>
      </c>
      <c r="D30" s="140">
        <v>676</v>
      </c>
      <c r="E30" s="180">
        <v>681</v>
      </c>
      <c r="F30" s="186">
        <f>E30-D30</f>
        <v>5</v>
      </c>
      <c r="G30" s="189">
        <f>E30/D30*100</f>
        <v>100.7396449704142</v>
      </c>
      <c r="H30" s="174"/>
    </row>
    <row r="31" spans="1:8" s="32" customFormat="1" ht="13.5">
      <c r="A31" s="79" t="s">
        <v>158</v>
      </c>
      <c r="B31" s="31" t="s">
        <v>243</v>
      </c>
      <c r="C31" s="138"/>
      <c r="D31" s="140"/>
      <c r="E31" s="178"/>
      <c r="F31" s="186"/>
      <c r="G31" s="189"/>
      <c r="H31" s="174"/>
    </row>
    <row r="32" spans="1:8" s="32" customFormat="1" ht="13.5">
      <c r="A32" s="79" t="s">
        <v>59</v>
      </c>
      <c r="B32" s="31" t="s">
        <v>244</v>
      </c>
      <c r="C32" s="138"/>
      <c r="D32" s="140"/>
      <c r="E32" s="178"/>
      <c r="F32" s="186"/>
      <c r="G32" s="189"/>
      <c r="H32" s="174"/>
    </row>
    <row r="33" spans="1:8" s="32" customFormat="1" ht="13.5">
      <c r="A33" s="3" t="s">
        <v>53</v>
      </c>
      <c r="B33" s="31" t="s">
        <v>245</v>
      </c>
      <c r="C33" s="138">
        <v>169</v>
      </c>
      <c r="D33" s="140">
        <v>164.42279999999982</v>
      </c>
      <c r="E33" s="178">
        <v>264</v>
      </c>
      <c r="F33" s="186">
        <f>E33-D33</f>
        <v>99.57720000000018</v>
      </c>
      <c r="G33" s="189">
        <f>E33/D33*100</f>
        <v>160.56167392843346</v>
      </c>
      <c r="H33" s="174"/>
    </row>
    <row r="34" spans="1:8" s="32" customFormat="1" ht="13.5">
      <c r="A34" s="79" t="s">
        <v>167</v>
      </c>
      <c r="B34" s="31" t="s">
        <v>246</v>
      </c>
      <c r="C34" s="138">
        <v>222.5</v>
      </c>
      <c r="D34" s="140">
        <v>132.81909000000022</v>
      </c>
      <c r="E34" s="178">
        <v>203</v>
      </c>
      <c r="F34" s="186">
        <f>E34-D34</f>
        <v>70.18090999999978</v>
      </c>
      <c r="G34" s="189">
        <f>E34/D34*100</f>
        <v>152.83947510858542</v>
      </c>
      <c r="H34" s="174"/>
    </row>
    <row r="35" spans="1:8" s="32" customFormat="1" ht="13.5">
      <c r="A35" s="79" t="s">
        <v>188</v>
      </c>
      <c r="B35" s="31" t="s">
        <v>247</v>
      </c>
      <c r="C35" s="138">
        <v>4.2</v>
      </c>
      <c r="D35" s="140"/>
      <c r="E35" s="178"/>
      <c r="F35" s="186"/>
      <c r="G35" s="189"/>
      <c r="H35" s="174"/>
    </row>
    <row r="36" spans="1:8" s="194" customFormat="1" ht="27">
      <c r="A36" s="126" t="s">
        <v>150</v>
      </c>
      <c r="B36" s="127">
        <v>2130</v>
      </c>
      <c r="C36" s="181">
        <v>3080</v>
      </c>
      <c r="D36" s="176">
        <v>3962</v>
      </c>
      <c r="E36" s="192">
        <f>E38</f>
        <v>3344</v>
      </c>
      <c r="F36" s="185">
        <f>E36-D36</f>
        <v>-618</v>
      </c>
      <c r="G36" s="188">
        <f>E36/D36*100</f>
        <v>84.40181726400807</v>
      </c>
      <c r="H36" s="193"/>
    </row>
    <row r="37" spans="1:8" s="32" customFormat="1" ht="13.5">
      <c r="A37" s="79" t="s">
        <v>60</v>
      </c>
      <c r="B37" s="31">
        <v>2131</v>
      </c>
      <c r="C37" s="138"/>
      <c r="D37" s="140"/>
      <c r="E37" s="178"/>
      <c r="F37" s="186"/>
      <c r="G37" s="189"/>
      <c r="H37" s="174"/>
    </row>
    <row r="38" spans="1:8" s="32" customFormat="1" ht="27">
      <c r="A38" s="79" t="s">
        <v>61</v>
      </c>
      <c r="B38" s="31">
        <v>2132</v>
      </c>
      <c r="C38" s="138">
        <v>3080</v>
      </c>
      <c r="D38" s="140">
        <v>3962</v>
      </c>
      <c r="E38" s="180">
        <v>3344</v>
      </c>
      <c r="F38" s="186">
        <f>E38-D38</f>
        <v>-618</v>
      </c>
      <c r="G38" s="189">
        <f>E38/D38*100</f>
        <v>84.40181726400807</v>
      </c>
      <c r="H38" s="174"/>
    </row>
    <row r="39" spans="1:8" s="32" customFormat="1" ht="27">
      <c r="A39" s="79" t="s">
        <v>62</v>
      </c>
      <c r="B39" s="31">
        <v>2133</v>
      </c>
      <c r="C39" s="138"/>
      <c r="D39" s="7"/>
      <c r="E39" s="178"/>
      <c r="F39" s="186"/>
      <c r="G39" s="189"/>
      <c r="H39" s="174"/>
    </row>
    <row r="40" spans="1:8" s="32" customFormat="1" ht="27">
      <c r="A40" s="126" t="s">
        <v>63</v>
      </c>
      <c r="B40" s="127">
        <v>2140</v>
      </c>
      <c r="C40" s="176"/>
      <c r="D40" s="181"/>
      <c r="E40" s="187"/>
      <c r="F40" s="185"/>
      <c r="G40" s="188"/>
      <c r="H40" s="174"/>
    </row>
    <row r="41" spans="1:8" s="32" customFormat="1" ht="54.75">
      <c r="A41" s="79" t="s">
        <v>64</v>
      </c>
      <c r="B41" s="31">
        <v>2141</v>
      </c>
      <c r="C41" s="138"/>
      <c r="D41" s="7"/>
      <c r="E41" s="178"/>
      <c r="F41" s="186"/>
      <c r="G41" s="189"/>
      <c r="H41" s="174"/>
    </row>
    <row r="42" spans="1:8" s="32" customFormat="1" ht="27">
      <c r="A42" s="79" t="s">
        <v>65</v>
      </c>
      <c r="B42" s="31">
        <v>2142</v>
      </c>
      <c r="C42" s="138"/>
      <c r="D42" s="7"/>
      <c r="E42" s="179"/>
      <c r="F42" s="186"/>
      <c r="G42" s="189"/>
      <c r="H42" s="173"/>
    </row>
    <row r="43" spans="1:8" s="32" customFormat="1" ht="26.25" customHeight="1">
      <c r="A43" s="246"/>
      <c r="B43" s="247"/>
      <c r="C43" s="248"/>
      <c r="D43" s="249"/>
      <c r="H43" s="173"/>
    </row>
    <row r="44" spans="1:8" ht="13.5">
      <c r="A44" s="8" t="s">
        <v>180</v>
      </c>
      <c r="B44" s="271" t="s">
        <v>303</v>
      </c>
      <c r="C44" s="272"/>
      <c r="D44" s="272"/>
      <c r="E44" s="273"/>
      <c r="F44" s="273"/>
      <c r="G44" s="250"/>
      <c r="H44" s="250"/>
    </row>
    <row r="45" spans="1:8" ht="13.5">
      <c r="A45" s="8"/>
      <c r="B45" s="41"/>
      <c r="C45" s="42"/>
      <c r="D45" s="42"/>
      <c r="E45" s="250"/>
      <c r="F45" s="250"/>
      <c r="G45" s="250"/>
      <c r="H45" s="250"/>
    </row>
    <row r="46" spans="1:8" ht="18" customHeight="1">
      <c r="A46" s="8" t="s">
        <v>144</v>
      </c>
      <c r="B46" s="271" t="s">
        <v>304</v>
      </c>
      <c r="C46" s="272"/>
      <c r="D46" s="272"/>
      <c r="E46" s="273"/>
      <c r="F46" s="273"/>
      <c r="G46" s="250"/>
      <c r="H46" s="250"/>
    </row>
    <row r="47" spans="1:4" ht="13.5">
      <c r="A47" s="77"/>
      <c r="B47" s="77"/>
      <c r="D47" s="77"/>
    </row>
    <row r="48" spans="1:4" ht="13.5">
      <c r="A48" s="77"/>
      <c r="B48" s="77"/>
      <c r="D48" s="77"/>
    </row>
    <row r="49" spans="1:4" ht="13.5">
      <c r="A49" s="77"/>
      <c r="B49" s="77"/>
      <c r="D49" s="77"/>
    </row>
    <row r="50" spans="1:4" ht="13.5">
      <c r="A50" s="77"/>
      <c r="B50" s="77"/>
      <c r="D50" s="77"/>
    </row>
  </sheetData>
  <sheetProtection/>
  <mergeCells count="12">
    <mergeCell ref="E4:E5"/>
    <mergeCell ref="F4:F5"/>
    <mergeCell ref="G4:G5"/>
    <mergeCell ref="A7:G7"/>
    <mergeCell ref="A2:G2"/>
    <mergeCell ref="B44:F44"/>
    <mergeCell ref="B46:F46"/>
    <mergeCell ref="A16:D16"/>
    <mergeCell ref="A4:A5"/>
    <mergeCell ref="B4:B5"/>
    <mergeCell ref="C4:C5"/>
    <mergeCell ref="D4:D5"/>
  </mergeCells>
  <printOptions/>
  <pageMargins left="1.1811023622047245" right="0.1968503937007874" top="0.5511811023622047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15">
      <selection activeCell="C27" sqref="C27"/>
    </sheetView>
  </sheetViews>
  <sheetFormatPr defaultColWidth="9.140625" defaultRowHeight="12.75"/>
  <cols>
    <col min="1" max="1" width="33.7109375" style="73" customWidth="1"/>
    <col min="2" max="2" width="6.421875" style="73" customWidth="1"/>
    <col min="3" max="3" width="9.7109375" style="77" customWidth="1"/>
    <col min="4" max="4" width="9.7109375" style="73" customWidth="1"/>
    <col min="5" max="16384" width="9.140625" style="73" customWidth="1"/>
  </cols>
  <sheetData>
    <row r="1" spans="3:7" ht="13.5">
      <c r="C1" s="157"/>
      <c r="D1" s="157"/>
      <c r="E1" s="157"/>
      <c r="F1" s="157"/>
      <c r="G1" s="157" t="s">
        <v>128</v>
      </c>
    </row>
    <row r="2" spans="1:7" ht="15">
      <c r="A2" s="285" t="s">
        <v>129</v>
      </c>
      <c r="B2" s="285"/>
      <c r="C2" s="285"/>
      <c r="D2" s="285"/>
      <c r="E2" s="285"/>
      <c r="F2" s="285"/>
      <c r="G2" s="285"/>
    </row>
    <row r="3" spans="1:7" ht="14.25" customHeight="1">
      <c r="A3" s="149"/>
      <c r="B3" s="158"/>
      <c r="C3" s="196"/>
      <c r="D3" s="196"/>
      <c r="E3" s="197"/>
      <c r="F3" s="196"/>
      <c r="G3" s="196"/>
    </row>
    <row r="4" spans="1:7" ht="18.75" customHeight="1">
      <c r="A4" s="298" t="s">
        <v>1</v>
      </c>
      <c r="B4" s="300" t="s">
        <v>66</v>
      </c>
      <c r="C4" s="267" t="s">
        <v>287</v>
      </c>
      <c r="D4" s="265" t="s">
        <v>290</v>
      </c>
      <c r="E4" s="289" t="s">
        <v>291</v>
      </c>
      <c r="F4" s="279" t="s">
        <v>288</v>
      </c>
      <c r="G4" s="279" t="s">
        <v>289</v>
      </c>
    </row>
    <row r="5" spans="1:7" ht="51" customHeight="1">
      <c r="A5" s="299"/>
      <c r="B5" s="300"/>
      <c r="C5" s="268"/>
      <c r="D5" s="266"/>
      <c r="E5" s="290"/>
      <c r="F5" s="280"/>
      <c r="G5" s="280"/>
    </row>
    <row r="6" spans="1:7" s="76" customFormat="1" ht="12.75">
      <c r="A6" s="45">
        <v>1</v>
      </c>
      <c r="B6" s="44">
        <v>2</v>
      </c>
      <c r="C6" s="45">
        <v>3</v>
      </c>
      <c r="D6" s="15">
        <v>4</v>
      </c>
      <c r="E6" s="14">
        <v>6</v>
      </c>
      <c r="F6" s="15">
        <v>7</v>
      </c>
      <c r="G6" s="15">
        <v>8</v>
      </c>
    </row>
    <row r="7" spans="1:7" ht="15.75" customHeight="1">
      <c r="A7" s="294" t="s">
        <v>67</v>
      </c>
      <c r="B7" s="295"/>
      <c r="C7" s="295"/>
      <c r="D7" s="295"/>
      <c r="E7" s="135"/>
      <c r="F7" s="135"/>
      <c r="G7" s="135"/>
    </row>
    <row r="8" spans="1:9" ht="27">
      <c r="A8" s="116" t="s">
        <v>68</v>
      </c>
      <c r="B8" s="118">
        <v>3000</v>
      </c>
      <c r="C8" s="181">
        <v>39920</v>
      </c>
      <c r="D8" s="202">
        <f>1830+43747+796+1</f>
        <v>46374</v>
      </c>
      <c r="E8" s="188">
        <f>SUM(E9:E23)-E16</f>
        <v>39923</v>
      </c>
      <c r="F8" s="185">
        <f>E8-D8</f>
        <v>-6451</v>
      </c>
      <c r="G8" s="185">
        <f>E8/D8*100</f>
        <v>86.08918790701686</v>
      </c>
      <c r="I8" s="145">
        <f>39923-E8</f>
        <v>0</v>
      </c>
    </row>
    <row r="9" spans="1:7" ht="27">
      <c r="A9" s="35" t="s">
        <v>69</v>
      </c>
      <c r="B9" s="87">
        <v>3010</v>
      </c>
      <c r="C9" s="7">
        <v>34002</v>
      </c>
      <c r="D9" s="203">
        <v>38165</v>
      </c>
      <c r="E9" s="179">
        <v>34725</v>
      </c>
      <c r="F9" s="215">
        <f aca="true" t="shared" si="0" ref="F9:F60">E9-D9</f>
        <v>-3440</v>
      </c>
      <c r="G9" s="215">
        <f aca="true" t="shared" si="1" ref="G9:G60">E9/D9*100</f>
        <v>90.986505960959</v>
      </c>
    </row>
    <row r="10" spans="1:7" ht="27">
      <c r="A10" s="35" t="s">
        <v>70</v>
      </c>
      <c r="B10" s="87">
        <v>3020</v>
      </c>
      <c r="C10" s="7"/>
      <c r="D10" s="204"/>
      <c r="E10" s="179"/>
      <c r="F10" s="215">
        <f t="shared" si="0"/>
        <v>0</v>
      </c>
      <c r="G10" s="215"/>
    </row>
    <row r="11" spans="1:7" ht="13.5">
      <c r="A11" s="35" t="s">
        <v>71</v>
      </c>
      <c r="B11" s="87">
        <v>3021</v>
      </c>
      <c r="C11" s="7"/>
      <c r="D11" s="204"/>
      <c r="E11" s="179"/>
      <c r="F11" s="215">
        <f t="shared" si="0"/>
        <v>0</v>
      </c>
      <c r="G11" s="215"/>
    </row>
    <row r="12" spans="1:7" ht="13.5">
      <c r="A12" s="35" t="s">
        <v>156</v>
      </c>
      <c r="B12" s="87">
        <v>3030</v>
      </c>
      <c r="C12" s="7">
        <v>3143</v>
      </c>
      <c r="D12" s="203">
        <f>796+4489</f>
        <v>5285</v>
      </c>
      <c r="E12" s="179">
        <v>1607</v>
      </c>
      <c r="F12" s="215">
        <f t="shared" si="0"/>
        <v>-3678</v>
      </c>
      <c r="G12" s="215">
        <f t="shared" si="1"/>
        <v>30.40681173131504</v>
      </c>
    </row>
    <row r="13" spans="1:7" ht="27">
      <c r="A13" s="35" t="s">
        <v>72</v>
      </c>
      <c r="B13" s="87">
        <v>3040</v>
      </c>
      <c r="C13" s="7">
        <v>1222</v>
      </c>
      <c r="D13" s="204"/>
      <c r="E13" s="179">
        <v>225</v>
      </c>
      <c r="F13" s="215">
        <f t="shared" si="0"/>
        <v>225</v>
      </c>
      <c r="G13" s="215"/>
    </row>
    <row r="14" spans="1:7" ht="27">
      <c r="A14" s="35" t="s">
        <v>130</v>
      </c>
      <c r="B14" s="87">
        <v>3050</v>
      </c>
      <c r="C14" s="7"/>
      <c r="D14" s="204"/>
      <c r="E14" s="179"/>
      <c r="F14" s="215">
        <f t="shared" si="0"/>
        <v>0</v>
      </c>
      <c r="G14" s="215"/>
    </row>
    <row r="15" spans="1:7" ht="13.5">
      <c r="A15" s="3" t="s">
        <v>182</v>
      </c>
      <c r="B15" s="87">
        <v>3055</v>
      </c>
      <c r="C15" s="198">
        <v>1002</v>
      </c>
      <c r="D15" s="203">
        <v>876</v>
      </c>
      <c r="E15" s="179">
        <v>1280</v>
      </c>
      <c r="F15" s="215">
        <f t="shared" si="0"/>
        <v>404</v>
      </c>
      <c r="G15" s="215">
        <f t="shared" si="1"/>
        <v>146.1187214611872</v>
      </c>
    </row>
    <row r="16" spans="1:7" s="77" customFormat="1" ht="13.5">
      <c r="A16" s="3" t="s">
        <v>90</v>
      </c>
      <c r="B16" s="94">
        <v>3060</v>
      </c>
      <c r="C16" s="7">
        <v>551</v>
      </c>
      <c r="D16" s="205"/>
      <c r="E16" s="4">
        <f>SUM(E17:E23)</f>
        <v>2086</v>
      </c>
      <c r="F16" s="215">
        <f t="shared" si="0"/>
        <v>2086</v>
      </c>
      <c r="G16" s="215"/>
    </row>
    <row r="17" spans="1:7" ht="13.5">
      <c r="A17" s="35" t="s">
        <v>196</v>
      </c>
      <c r="B17" s="87" t="s">
        <v>248</v>
      </c>
      <c r="C17" s="140">
        <v>16</v>
      </c>
      <c r="D17" s="206">
        <v>12</v>
      </c>
      <c r="E17" s="179">
        <f>7+2</f>
        <v>9</v>
      </c>
      <c r="F17" s="215">
        <f t="shared" si="0"/>
        <v>-3</v>
      </c>
      <c r="G17" s="215">
        <f t="shared" si="1"/>
        <v>75</v>
      </c>
    </row>
    <row r="18" spans="1:7" ht="13.5">
      <c r="A18" s="35" t="s">
        <v>216</v>
      </c>
      <c r="B18" s="87" t="s">
        <v>249</v>
      </c>
      <c r="C18" s="198">
        <v>210</v>
      </c>
      <c r="D18" s="206">
        <v>205</v>
      </c>
      <c r="E18" s="179">
        <v>208</v>
      </c>
      <c r="F18" s="215">
        <f t="shared" si="0"/>
        <v>3</v>
      </c>
      <c r="G18" s="215">
        <f t="shared" si="1"/>
        <v>101.46341463414635</v>
      </c>
    </row>
    <row r="19" spans="1:7" ht="13.5">
      <c r="A19" s="35" t="s">
        <v>262</v>
      </c>
      <c r="B19" s="87" t="s">
        <v>250</v>
      </c>
      <c r="C19" s="198">
        <v>52</v>
      </c>
      <c r="D19" s="204"/>
      <c r="E19" s="179">
        <v>10</v>
      </c>
      <c r="F19" s="215">
        <f t="shared" si="0"/>
        <v>10</v>
      </c>
      <c r="G19" s="215"/>
    </row>
    <row r="20" spans="1:7" ht="27">
      <c r="A20" s="3" t="s">
        <v>189</v>
      </c>
      <c r="B20" s="87" t="s">
        <v>251</v>
      </c>
      <c r="C20" s="199"/>
      <c r="D20" s="204"/>
      <c r="E20" s="179"/>
      <c r="F20" s="215">
        <f t="shared" si="0"/>
        <v>0</v>
      </c>
      <c r="G20" s="215"/>
    </row>
    <row r="21" spans="1:7" ht="13.5">
      <c r="A21" s="3" t="s">
        <v>268</v>
      </c>
      <c r="B21" s="87" t="s">
        <v>270</v>
      </c>
      <c r="C21" s="137">
        <v>243</v>
      </c>
      <c r="D21" s="206">
        <v>1831</v>
      </c>
      <c r="E21" s="179">
        <v>1831</v>
      </c>
      <c r="F21" s="215">
        <f t="shared" si="0"/>
        <v>0</v>
      </c>
      <c r="G21" s="215">
        <f t="shared" si="1"/>
        <v>100</v>
      </c>
    </row>
    <row r="22" spans="1:7" ht="13.5">
      <c r="A22" s="3" t="s">
        <v>269</v>
      </c>
      <c r="B22" s="87" t="s">
        <v>271</v>
      </c>
      <c r="C22" s="137">
        <v>30</v>
      </c>
      <c r="D22" s="204"/>
      <c r="E22" s="179">
        <v>8</v>
      </c>
      <c r="F22" s="215">
        <f t="shared" si="0"/>
        <v>8</v>
      </c>
      <c r="G22" s="215"/>
    </row>
    <row r="23" spans="1:7" ht="13.5">
      <c r="A23" s="3" t="s">
        <v>297</v>
      </c>
      <c r="B23" s="87" t="s">
        <v>298</v>
      </c>
      <c r="C23" s="137"/>
      <c r="D23" s="204"/>
      <c r="E23" s="179">
        <v>20</v>
      </c>
      <c r="F23" s="215">
        <f t="shared" si="0"/>
        <v>20</v>
      </c>
      <c r="G23" s="215"/>
    </row>
    <row r="24" spans="1:7" ht="27">
      <c r="A24" s="103" t="s">
        <v>73</v>
      </c>
      <c r="B24" s="104">
        <v>3100</v>
      </c>
      <c r="C24" s="181">
        <v>38858</v>
      </c>
      <c r="D24" s="202">
        <f>1830+796+41752.2</f>
        <v>44378.2</v>
      </c>
      <c r="E24" s="185">
        <f>E25+E26+E30+E34+E37+E40+E41</f>
        <v>39917</v>
      </c>
      <c r="F24" s="185">
        <f t="shared" si="0"/>
        <v>-4461.199999999997</v>
      </c>
      <c r="G24" s="185">
        <f t="shared" si="1"/>
        <v>89.94731647520629</v>
      </c>
    </row>
    <row r="25" spans="1:7" ht="27">
      <c r="A25" s="35" t="s">
        <v>74</v>
      </c>
      <c r="B25" s="87">
        <v>3110</v>
      </c>
      <c r="C25" s="7">
        <v>15736</v>
      </c>
      <c r="D25" s="205">
        <f>796+13829.2</f>
        <v>14625.2</v>
      </c>
      <c r="E25" s="215">
        <f>14752-E42</f>
        <v>12869</v>
      </c>
      <c r="F25" s="215">
        <f t="shared" si="0"/>
        <v>-1756.2000000000007</v>
      </c>
      <c r="G25" s="215">
        <f t="shared" si="1"/>
        <v>87.99195908432021</v>
      </c>
    </row>
    <row r="26" spans="1:7" s="74" customFormat="1" ht="13.5">
      <c r="A26" s="100" t="s">
        <v>281</v>
      </c>
      <c r="B26" s="117">
        <v>3120</v>
      </c>
      <c r="C26" s="190">
        <f>C27+C28</f>
        <v>14143.46</v>
      </c>
      <c r="D26" s="207">
        <v>18461.82</v>
      </c>
      <c r="E26" s="169">
        <f>E27+E28</f>
        <v>15766</v>
      </c>
      <c r="F26" s="191">
        <f t="shared" si="0"/>
        <v>-2695.8199999999997</v>
      </c>
      <c r="G26" s="191">
        <f t="shared" si="1"/>
        <v>85.39786434923535</v>
      </c>
    </row>
    <row r="27" spans="1:7" s="74" customFormat="1" ht="13.5">
      <c r="A27" s="35" t="s">
        <v>284</v>
      </c>
      <c r="B27" s="87" t="s">
        <v>282</v>
      </c>
      <c r="C27" s="33">
        <v>11593</v>
      </c>
      <c r="D27" s="205">
        <f>D26/1.22</f>
        <v>15132.639344262296</v>
      </c>
      <c r="E27" s="216">
        <v>12422</v>
      </c>
      <c r="F27" s="215">
        <f t="shared" si="0"/>
        <v>-2710.6393442622957</v>
      </c>
      <c r="G27" s="215">
        <f t="shared" si="1"/>
        <v>82.08746483282796</v>
      </c>
    </row>
    <row r="28" spans="1:7" s="74" customFormat="1" ht="13.5">
      <c r="A28" s="35" t="s">
        <v>264</v>
      </c>
      <c r="B28" s="87" t="s">
        <v>283</v>
      </c>
      <c r="C28" s="33">
        <f>C27*0.22</f>
        <v>2550.46</v>
      </c>
      <c r="D28" s="205">
        <f>D27*0.22</f>
        <v>3329.180655737705</v>
      </c>
      <c r="E28" s="216">
        <v>3344</v>
      </c>
      <c r="F28" s="215">
        <f t="shared" si="0"/>
        <v>14.81934426229509</v>
      </c>
      <c r="G28" s="215">
        <f t="shared" si="1"/>
        <v>100.44513487835978</v>
      </c>
    </row>
    <row r="29" spans="1:7" ht="27">
      <c r="A29" s="35" t="s">
        <v>131</v>
      </c>
      <c r="B29" s="87">
        <v>3130</v>
      </c>
      <c r="C29" s="7"/>
      <c r="D29" s="205"/>
      <c r="E29" s="179"/>
      <c r="F29" s="215"/>
      <c r="G29" s="215"/>
    </row>
    <row r="30" spans="1:7" ht="41.25">
      <c r="A30" s="100" t="s">
        <v>75</v>
      </c>
      <c r="B30" s="117">
        <v>3140</v>
      </c>
      <c r="C30" s="195">
        <v>4194</v>
      </c>
      <c r="D30" s="207">
        <f>7901</f>
        <v>7901</v>
      </c>
      <c r="E30" s="169">
        <f>SUM(E31:E33)</f>
        <v>7926</v>
      </c>
      <c r="F30" s="191">
        <f t="shared" si="0"/>
        <v>25</v>
      </c>
      <c r="G30" s="191">
        <f t="shared" si="1"/>
        <v>100.31641564358942</v>
      </c>
    </row>
    <row r="31" spans="1:7" s="77" customFormat="1" ht="15" customHeight="1">
      <c r="A31" s="3" t="s">
        <v>94</v>
      </c>
      <c r="B31" s="30">
        <v>3141</v>
      </c>
      <c r="C31" s="200">
        <v>169</v>
      </c>
      <c r="D31" s="208">
        <v>164</v>
      </c>
      <c r="E31" s="4">
        <v>264</v>
      </c>
      <c r="F31" s="215">
        <f t="shared" si="0"/>
        <v>100</v>
      </c>
      <c r="G31" s="215">
        <f t="shared" si="1"/>
        <v>160.97560975609758</v>
      </c>
    </row>
    <row r="32" spans="1:7" s="77" customFormat="1" ht="13.5">
      <c r="A32" s="3" t="s">
        <v>76</v>
      </c>
      <c r="B32" s="30">
        <v>3142</v>
      </c>
      <c r="C32" s="7">
        <v>4025</v>
      </c>
      <c r="D32" s="208">
        <v>4495</v>
      </c>
      <c r="E32" s="4">
        <v>4835</v>
      </c>
      <c r="F32" s="215">
        <f t="shared" si="0"/>
        <v>340</v>
      </c>
      <c r="G32" s="215">
        <f t="shared" si="1"/>
        <v>107.56395995550612</v>
      </c>
    </row>
    <row r="33" spans="1:7" s="77" customFormat="1" ht="13.5">
      <c r="A33" s="3" t="s">
        <v>55</v>
      </c>
      <c r="B33" s="30">
        <v>3143</v>
      </c>
      <c r="C33" s="200">
        <v>2606</v>
      </c>
      <c r="D33" s="208">
        <v>3242</v>
      </c>
      <c r="E33" s="4">
        <v>2827</v>
      </c>
      <c r="F33" s="215">
        <f t="shared" si="0"/>
        <v>-415</v>
      </c>
      <c r="G33" s="215">
        <f t="shared" si="1"/>
        <v>87.19925971622456</v>
      </c>
    </row>
    <row r="34" spans="1:7" s="77" customFormat="1" ht="28.5" customHeight="1">
      <c r="A34" s="100" t="s">
        <v>77</v>
      </c>
      <c r="B34" s="101">
        <v>3144</v>
      </c>
      <c r="C34" s="195">
        <v>222.5</v>
      </c>
      <c r="D34" s="207">
        <v>403.18</v>
      </c>
      <c r="E34" s="169">
        <f>E35+E36</f>
        <v>445</v>
      </c>
      <c r="F34" s="191">
        <f t="shared" si="0"/>
        <v>41.81999999999999</v>
      </c>
      <c r="G34" s="191">
        <f t="shared" si="1"/>
        <v>110.37253832035319</v>
      </c>
    </row>
    <row r="35" spans="1:7" s="77" customFormat="1" ht="30" customHeight="1">
      <c r="A35" s="3" t="s">
        <v>132</v>
      </c>
      <c r="B35" s="30" t="s">
        <v>140</v>
      </c>
      <c r="C35" s="7">
        <v>222.5</v>
      </c>
      <c r="D35" s="208">
        <v>133</v>
      </c>
      <c r="E35" s="4">
        <v>203</v>
      </c>
      <c r="F35" s="215">
        <f t="shared" si="0"/>
        <v>70</v>
      </c>
      <c r="G35" s="215">
        <f t="shared" si="1"/>
        <v>152.63157894736844</v>
      </c>
    </row>
    <row r="36" spans="1:7" s="77" customFormat="1" ht="30" customHeight="1">
      <c r="A36" s="3" t="s">
        <v>215</v>
      </c>
      <c r="B36" s="30" t="s">
        <v>252</v>
      </c>
      <c r="C36" s="7">
        <v>209.5</v>
      </c>
      <c r="D36" s="208">
        <v>270.18</v>
      </c>
      <c r="E36" s="4">
        <v>242</v>
      </c>
      <c r="F36" s="215">
        <f t="shared" si="0"/>
        <v>-28.180000000000007</v>
      </c>
      <c r="G36" s="215">
        <f t="shared" si="1"/>
        <v>89.56991635206158</v>
      </c>
    </row>
    <row r="37" spans="1:7" s="77" customFormat="1" ht="13.5">
      <c r="A37" s="100" t="s">
        <v>78</v>
      </c>
      <c r="B37" s="101">
        <v>3150</v>
      </c>
      <c r="C37" s="195">
        <v>588</v>
      </c>
      <c r="D37" s="207">
        <v>683</v>
      </c>
      <c r="E37" s="169">
        <f>E38+E39</f>
        <v>687</v>
      </c>
      <c r="F37" s="191">
        <f t="shared" si="0"/>
        <v>4</v>
      </c>
      <c r="G37" s="191">
        <f t="shared" si="1"/>
        <v>100.58565153733528</v>
      </c>
    </row>
    <row r="38" spans="1:7" ht="13.5">
      <c r="A38" s="35" t="s">
        <v>197</v>
      </c>
      <c r="B38" s="88" t="s">
        <v>253</v>
      </c>
      <c r="C38" s="200">
        <v>4</v>
      </c>
      <c r="D38" s="203">
        <v>7</v>
      </c>
      <c r="E38" s="179">
        <v>6</v>
      </c>
      <c r="F38" s="215">
        <f t="shared" si="0"/>
        <v>-1</v>
      </c>
      <c r="G38" s="215">
        <f t="shared" si="1"/>
        <v>85.71428571428571</v>
      </c>
    </row>
    <row r="39" spans="1:7" ht="13.5">
      <c r="A39" s="35" t="s">
        <v>157</v>
      </c>
      <c r="B39" s="88" t="s">
        <v>254</v>
      </c>
      <c r="C39" s="200">
        <v>584</v>
      </c>
      <c r="D39" s="203">
        <v>676</v>
      </c>
      <c r="E39" s="179">
        <v>681</v>
      </c>
      <c r="F39" s="215">
        <f t="shared" si="0"/>
        <v>5</v>
      </c>
      <c r="G39" s="215">
        <f t="shared" si="1"/>
        <v>100.7396449704142</v>
      </c>
    </row>
    <row r="40" spans="1:7" ht="13.5">
      <c r="A40" s="35" t="s">
        <v>79</v>
      </c>
      <c r="B40" s="87">
        <v>3160</v>
      </c>
      <c r="C40" s="7"/>
      <c r="D40" s="205"/>
      <c r="E40" s="179">
        <v>3</v>
      </c>
      <c r="F40" s="215">
        <f t="shared" si="0"/>
        <v>3</v>
      </c>
      <c r="G40" s="215"/>
    </row>
    <row r="41" spans="1:7" ht="13.5">
      <c r="A41" s="100" t="s">
        <v>12</v>
      </c>
      <c r="B41" s="117">
        <v>3170</v>
      </c>
      <c r="C41" s="201">
        <v>629</v>
      </c>
      <c r="D41" s="207">
        <f>1800+474+30+1</f>
        <v>2305</v>
      </c>
      <c r="E41" s="169">
        <f>SUM(E42:E45)</f>
        <v>2221</v>
      </c>
      <c r="F41" s="191">
        <f t="shared" si="0"/>
        <v>-84</v>
      </c>
      <c r="G41" s="191">
        <f t="shared" si="1"/>
        <v>96.35574837310196</v>
      </c>
    </row>
    <row r="42" spans="1:7" ht="13.5">
      <c r="A42" s="35" t="s">
        <v>217</v>
      </c>
      <c r="B42" s="87" t="s">
        <v>255</v>
      </c>
      <c r="C42" s="198">
        <v>243</v>
      </c>
      <c r="D42" s="206">
        <f>2030+1</f>
        <v>2031</v>
      </c>
      <c r="E42" s="179">
        <v>1883</v>
      </c>
      <c r="F42" s="215">
        <f t="shared" si="0"/>
        <v>-148</v>
      </c>
      <c r="G42" s="215">
        <f t="shared" si="1"/>
        <v>92.71294928606598</v>
      </c>
    </row>
    <row r="43" spans="1:7" ht="13.5">
      <c r="A43" s="35" t="s">
        <v>218</v>
      </c>
      <c r="B43" s="87" t="s">
        <v>256</v>
      </c>
      <c r="C43" s="198">
        <v>81</v>
      </c>
      <c r="D43" s="206">
        <v>94</v>
      </c>
      <c r="E43" s="179">
        <f>64+6</f>
        <v>70</v>
      </c>
      <c r="F43" s="215">
        <f t="shared" si="0"/>
        <v>-24</v>
      </c>
      <c r="G43" s="215">
        <f t="shared" si="1"/>
        <v>74.46808510638297</v>
      </c>
    </row>
    <row r="44" spans="1:7" ht="13.5">
      <c r="A44" s="35" t="s">
        <v>219</v>
      </c>
      <c r="B44" s="87" t="s">
        <v>257</v>
      </c>
      <c r="C44" s="198">
        <v>41</v>
      </c>
      <c r="D44" s="206">
        <v>180</v>
      </c>
      <c r="E44" s="179">
        <f>301-E43-E40</f>
        <v>228</v>
      </c>
      <c r="F44" s="215">
        <f t="shared" si="0"/>
        <v>48</v>
      </c>
      <c r="G44" s="215">
        <f t="shared" si="1"/>
        <v>126.66666666666666</v>
      </c>
    </row>
    <row r="45" spans="1:7" ht="27">
      <c r="A45" s="35" t="s">
        <v>279</v>
      </c>
      <c r="B45" s="87" t="s">
        <v>272</v>
      </c>
      <c r="C45" s="198">
        <v>264</v>
      </c>
      <c r="D45" s="206"/>
      <c r="E45" s="179">
        <v>40</v>
      </c>
      <c r="F45" s="215">
        <f t="shared" si="0"/>
        <v>40</v>
      </c>
      <c r="G45" s="215"/>
    </row>
    <row r="46" spans="1:9" ht="27">
      <c r="A46" s="103" t="s">
        <v>80</v>
      </c>
      <c r="B46" s="104">
        <v>3195</v>
      </c>
      <c r="C46" s="181">
        <v>1062</v>
      </c>
      <c r="D46" s="202">
        <v>1994.7999999999956</v>
      </c>
      <c r="E46" s="185">
        <f>E8-E24</f>
        <v>6</v>
      </c>
      <c r="F46" s="185">
        <f t="shared" si="0"/>
        <v>-1988.7999999999956</v>
      </c>
      <c r="G46" s="185">
        <f t="shared" si="1"/>
        <v>0.3007820332865457</v>
      </c>
      <c r="I46" s="97"/>
    </row>
    <row r="47" spans="1:7" ht="19.5" customHeight="1">
      <c r="A47" s="296" t="s">
        <v>81</v>
      </c>
      <c r="B47" s="297"/>
      <c r="C47" s="297"/>
      <c r="D47" s="297"/>
      <c r="E47" s="135"/>
      <c r="F47" s="217"/>
      <c r="G47" s="217"/>
    </row>
    <row r="48" spans="1:7" ht="27">
      <c r="A48" s="34" t="s">
        <v>82</v>
      </c>
      <c r="B48" s="89">
        <v>3200</v>
      </c>
      <c r="C48" s="80"/>
      <c r="D48" s="209"/>
      <c r="E48" s="135"/>
      <c r="F48" s="217"/>
      <c r="G48" s="217"/>
    </row>
    <row r="49" spans="1:7" ht="27">
      <c r="A49" s="35" t="s">
        <v>83</v>
      </c>
      <c r="B49" s="88">
        <v>3210</v>
      </c>
      <c r="C49" s="54"/>
      <c r="D49" s="210"/>
      <c r="E49" s="135"/>
      <c r="F49" s="217"/>
      <c r="G49" s="217"/>
    </row>
    <row r="50" spans="1:7" ht="27">
      <c r="A50" s="35" t="s">
        <v>84</v>
      </c>
      <c r="B50" s="87">
        <v>3220</v>
      </c>
      <c r="C50" s="54"/>
      <c r="D50" s="210"/>
      <c r="E50" s="135"/>
      <c r="F50" s="217"/>
      <c r="G50" s="217"/>
    </row>
    <row r="51" spans="1:7" ht="13.5">
      <c r="A51" s="35" t="s">
        <v>90</v>
      </c>
      <c r="B51" s="87">
        <v>3230</v>
      </c>
      <c r="C51" s="54"/>
      <c r="D51" s="210"/>
      <c r="E51" s="135"/>
      <c r="F51" s="217"/>
      <c r="G51" s="217"/>
    </row>
    <row r="52" spans="1:7" ht="27">
      <c r="A52" s="36" t="s">
        <v>85</v>
      </c>
      <c r="B52" s="90">
        <v>3255</v>
      </c>
      <c r="C52" s="80"/>
      <c r="D52" s="209"/>
      <c r="E52" s="135"/>
      <c r="F52" s="217"/>
      <c r="G52" s="217"/>
    </row>
    <row r="53" spans="1:7" ht="27">
      <c r="A53" s="35" t="s">
        <v>91</v>
      </c>
      <c r="B53" s="87">
        <v>3260</v>
      </c>
      <c r="C53" s="54">
        <v>1344</v>
      </c>
      <c r="D53" s="219">
        <v>2285</v>
      </c>
      <c r="E53" s="135"/>
      <c r="F53" s="217"/>
      <c r="G53" s="217"/>
    </row>
    <row r="54" spans="1:7" ht="27">
      <c r="A54" s="35" t="s">
        <v>92</v>
      </c>
      <c r="B54" s="87">
        <v>3265</v>
      </c>
      <c r="C54" s="54"/>
      <c r="D54" s="210"/>
      <c r="E54" s="135"/>
      <c r="F54" s="217"/>
      <c r="G54" s="217"/>
    </row>
    <row r="55" spans="1:7" ht="41.25">
      <c r="A55" s="35" t="s">
        <v>93</v>
      </c>
      <c r="B55" s="87">
        <v>3270</v>
      </c>
      <c r="C55" s="54"/>
      <c r="D55" s="210"/>
      <c r="E55" s="135"/>
      <c r="F55" s="217"/>
      <c r="G55" s="217"/>
    </row>
    <row r="56" spans="1:7" ht="13.5">
      <c r="A56" s="35" t="s">
        <v>12</v>
      </c>
      <c r="B56" s="87">
        <v>3280</v>
      </c>
      <c r="C56" s="54"/>
      <c r="D56" s="210"/>
      <c r="E56" s="135"/>
      <c r="F56" s="217"/>
      <c r="G56" s="217"/>
    </row>
    <row r="57" spans="1:7" ht="27">
      <c r="A57" s="38" t="s">
        <v>86</v>
      </c>
      <c r="B57" s="91">
        <v>3295</v>
      </c>
      <c r="C57" s="80">
        <v>-1344</v>
      </c>
      <c r="D57" s="211" t="s">
        <v>220</v>
      </c>
      <c r="E57" s="217"/>
      <c r="F57" s="217"/>
      <c r="G57" s="217">
        <f t="shared" si="1"/>
        <v>0</v>
      </c>
    </row>
    <row r="58" spans="1:7" ht="13.5">
      <c r="A58" s="103" t="s">
        <v>87</v>
      </c>
      <c r="B58" s="104">
        <v>3400</v>
      </c>
      <c r="C58" s="105">
        <v>-282</v>
      </c>
      <c r="D58" s="212">
        <v>-290.20000000000437</v>
      </c>
      <c r="E58" s="218">
        <f>E46-E57</f>
        <v>6</v>
      </c>
      <c r="F58" s="218">
        <f t="shared" si="0"/>
        <v>296.20000000000437</v>
      </c>
      <c r="G58" s="218">
        <f t="shared" si="1"/>
        <v>-2.067539627842836</v>
      </c>
    </row>
    <row r="59" spans="1:7" ht="13.5">
      <c r="A59" s="35" t="s">
        <v>88</v>
      </c>
      <c r="B59" s="87">
        <v>3405</v>
      </c>
      <c r="C59" s="54">
        <v>1992</v>
      </c>
      <c r="D59" s="213" t="s">
        <v>222</v>
      </c>
      <c r="E59" s="217">
        <f>C60</f>
        <v>1710</v>
      </c>
      <c r="F59" s="217">
        <f t="shared" si="0"/>
        <v>286</v>
      </c>
      <c r="G59" s="217">
        <f t="shared" si="1"/>
        <v>120.08426966292134</v>
      </c>
    </row>
    <row r="60" spans="1:7" ht="13.5">
      <c r="A60" s="35" t="s">
        <v>89</v>
      </c>
      <c r="B60" s="87">
        <v>3415</v>
      </c>
      <c r="C60" s="54">
        <v>1710</v>
      </c>
      <c r="D60" s="214">
        <f>D59+D8-D24-D53</f>
        <v>1134.800000000003</v>
      </c>
      <c r="E60" s="217">
        <v>1716</v>
      </c>
      <c r="F60" s="217">
        <f t="shared" si="0"/>
        <v>581.1999999999971</v>
      </c>
      <c r="G60" s="217">
        <f t="shared" si="1"/>
        <v>151.21607331688364</v>
      </c>
    </row>
    <row r="61" spans="1:4" ht="13.5">
      <c r="A61" s="10"/>
      <c r="B61" s="11"/>
      <c r="C61" s="78"/>
      <c r="D61" s="12"/>
    </row>
    <row r="62" spans="1:4" ht="13.5">
      <c r="A62" s="10"/>
      <c r="B62" s="11"/>
      <c r="C62" s="78"/>
      <c r="D62" s="12"/>
    </row>
    <row r="63" spans="1:8" ht="13.5">
      <c r="A63" s="8" t="s">
        <v>180</v>
      </c>
      <c r="B63" s="291" t="s">
        <v>303</v>
      </c>
      <c r="C63" s="292"/>
      <c r="D63" s="292"/>
      <c r="E63" s="273"/>
      <c r="F63" s="273"/>
      <c r="G63" s="293"/>
      <c r="H63" s="250"/>
    </row>
    <row r="64" spans="1:8" ht="13.5">
      <c r="A64" s="8"/>
      <c r="B64" s="41"/>
      <c r="C64" s="42"/>
      <c r="D64" s="42"/>
      <c r="E64" s="250"/>
      <c r="F64" s="250"/>
      <c r="G64" s="250"/>
      <c r="H64" s="250"/>
    </row>
    <row r="65" spans="1:8" ht="18" customHeight="1">
      <c r="A65" s="8" t="s">
        <v>144</v>
      </c>
      <c r="B65" s="271" t="s">
        <v>304</v>
      </c>
      <c r="C65" s="272"/>
      <c r="D65" s="272"/>
      <c r="E65" s="273"/>
      <c r="F65" s="273"/>
      <c r="G65" s="250"/>
      <c r="H65" s="250"/>
    </row>
    <row r="66" spans="1:4" ht="13.5">
      <c r="A66" s="77"/>
      <c r="B66" s="77"/>
      <c r="D66" s="77"/>
    </row>
    <row r="67" spans="1:4" ht="13.5">
      <c r="A67" s="77"/>
      <c r="B67" s="77"/>
      <c r="D67" s="77"/>
    </row>
    <row r="68" spans="1:4" ht="13.5">
      <c r="A68" s="77"/>
      <c r="B68" s="77"/>
      <c r="D68" s="77"/>
    </row>
    <row r="69" spans="1:4" ht="13.5">
      <c r="A69" s="77"/>
      <c r="B69" s="77"/>
      <c r="D69" s="77"/>
    </row>
    <row r="70" spans="1:4" ht="13.5">
      <c r="A70" s="77"/>
      <c r="B70" s="77"/>
      <c r="D70" s="77"/>
    </row>
    <row r="71" spans="1:4" ht="13.5">
      <c r="A71" s="77"/>
      <c r="B71" s="77"/>
      <c r="D71" s="77"/>
    </row>
    <row r="72" spans="1:4" ht="13.5">
      <c r="A72" s="77"/>
      <c r="B72" s="77"/>
      <c r="D72" s="77"/>
    </row>
  </sheetData>
  <sheetProtection/>
  <mergeCells count="12">
    <mergeCell ref="B65:F65"/>
    <mergeCell ref="B63:G63"/>
    <mergeCell ref="A7:D7"/>
    <mergeCell ref="A47:D47"/>
    <mergeCell ref="A4:A5"/>
    <mergeCell ref="B4:B5"/>
    <mergeCell ref="C4:C5"/>
    <mergeCell ref="D4:D5"/>
    <mergeCell ref="E4:E5"/>
    <mergeCell ref="F4:F5"/>
    <mergeCell ref="G4:G5"/>
    <mergeCell ref="A2:G2"/>
  </mergeCells>
  <printOptions/>
  <pageMargins left="1.1811023622047245" right="0.1968503937007874" top="0.35433070866141736" bottom="0.35433070866141736" header="0.31496062992125984" footer="0.31496062992125984"/>
  <pageSetup fitToHeight="2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32.421875" style="73" customWidth="1"/>
    <col min="2" max="2" width="6.140625" style="73" bestFit="1" customWidth="1"/>
    <col min="3" max="3" width="10.7109375" style="74" customWidth="1"/>
    <col min="4" max="7" width="10.7109375" style="73" customWidth="1"/>
    <col min="8" max="16384" width="9.140625" style="73" customWidth="1"/>
  </cols>
  <sheetData>
    <row r="1" spans="3:9" ht="13.5">
      <c r="C1" s="73"/>
      <c r="G1" s="157" t="s">
        <v>134</v>
      </c>
      <c r="I1" s="75"/>
    </row>
    <row r="2" spans="1:9" ht="15">
      <c r="A2" s="285" t="s">
        <v>299</v>
      </c>
      <c r="B2" s="285"/>
      <c r="C2" s="285"/>
      <c r="D2" s="285"/>
      <c r="E2" s="285"/>
      <c r="F2" s="285"/>
      <c r="G2" s="285"/>
      <c r="I2" s="75"/>
    </row>
    <row r="3" spans="1:9" ht="13.5">
      <c r="A3" s="149"/>
      <c r="B3" s="158"/>
      <c r="C3" s="149"/>
      <c r="D3" s="149"/>
      <c r="E3" s="158"/>
      <c r="F3" s="149"/>
      <c r="G3" s="149"/>
      <c r="I3" s="75"/>
    </row>
    <row r="4" spans="1:7" ht="78" customHeight="1">
      <c r="A4" s="4" t="s">
        <v>1</v>
      </c>
      <c r="B4" s="5" t="s">
        <v>2</v>
      </c>
      <c r="C4" s="154" t="s">
        <v>287</v>
      </c>
      <c r="D4" s="155" t="s">
        <v>290</v>
      </c>
      <c r="E4" s="220" t="s">
        <v>291</v>
      </c>
      <c r="F4" s="156" t="s">
        <v>288</v>
      </c>
      <c r="G4" s="156" t="s">
        <v>289</v>
      </c>
    </row>
    <row r="5" spans="1:7" s="32" customFormat="1" ht="12.75">
      <c r="A5" s="30">
        <v>1</v>
      </c>
      <c r="B5" s="15">
        <v>2</v>
      </c>
      <c r="C5" s="45">
        <v>3</v>
      </c>
      <c r="D5" s="15">
        <v>4</v>
      </c>
      <c r="E5" s="14">
        <v>6</v>
      </c>
      <c r="F5" s="15">
        <v>7</v>
      </c>
      <c r="G5" s="15">
        <v>8</v>
      </c>
    </row>
    <row r="6" spans="1:7" ht="27">
      <c r="A6" s="225" t="s">
        <v>95</v>
      </c>
      <c r="B6" s="222">
        <v>4000</v>
      </c>
      <c r="C6" s="223">
        <v>2352</v>
      </c>
      <c r="D6" s="223">
        <v>2285</v>
      </c>
      <c r="E6" s="224">
        <f>SUM(E7:E12)</f>
        <v>341</v>
      </c>
      <c r="F6" s="224">
        <f>E6-D6</f>
        <v>-1944</v>
      </c>
      <c r="G6" s="188">
        <f>E6/D6*100</f>
        <v>14.923413566739608</v>
      </c>
    </row>
    <row r="7" spans="1:7" ht="13.5">
      <c r="A7" s="3" t="s">
        <v>96</v>
      </c>
      <c r="B7" s="82" t="s">
        <v>97</v>
      </c>
      <c r="C7" s="33"/>
      <c r="D7" s="140"/>
      <c r="E7" s="221"/>
      <c r="F7" s="221">
        <f aca="true" t="shared" si="0" ref="F7:F12">E7-D7</f>
        <v>0</v>
      </c>
      <c r="G7" s="221"/>
    </row>
    <row r="8" spans="1:7" ht="27">
      <c r="A8" s="3" t="s">
        <v>98</v>
      </c>
      <c r="B8" s="81">
        <v>4020</v>
      </c>
      <c r="C8" s="33">
        <v>2254</v>
      </c>
      <c r="D8" s="140">
        <v>2185</v>
      </c>
      <c r="E8" s="251">
        <v>100</v>
      </c>
      <c r="F8" s="221">
        <f t="shared" si="0"/>
        <v>-2085</v>
      </c>
      <c r="G8" s="221">
        <f>E8/D8*100</f>
        <v>4.576659038901601</v>
      </c>
    </row>
    <row r="9" spans="1:7" ht="27">
      <c r="A9" s="3" t="s">
        <v>99</v>
      </c>
      <c r="B9" s="82">
        <v>4030</v>
      </c>
      <c r="C9" s="33">
        <v>49</v>
      </c>
      <c r="D9" s="138"/>
      <c r="E9" s="251">
        <v>241</v>
      </c>
      <c r="F9" s="221">
        <f t="shared" si="0"/>
        <v>241</v>
      </c>
      <c r="G9" s="221"/>
    </row>
    <row r="10" spans="1:7" ht="27">
      <c r="A10" s="3" t="s">
        <v>100</v>
      </c>
      <c r="B10" s="81">
        <v>4040</v>
      </c>
      <c r="C10" s="33"/>
      <c r="D10" s="138"/>
      <c r="E10" s="221"/>
      <c r="F10" s="221"/>
      <c r="G10" s="221"/>
    </row>
    <row r="11" spans="1:7" ht="41.25">
      <c r="A11" s="3" t="s">
        <v>101</v>
      </c>
      <c r="B11" s="82">
        <v>4050</v>
      </c>
      <c r="C11" s="33"/>
      <c r="D11" s="138"/>
      <c r="E11" s="221"/>
      <c r="F11" s="221"/>
      <c r="G11" s="221"/>
    </row>
    <row r="12" spans="1:7" ht="13.5">
      <c r="A12" s="3" t="s">
        <v>102</v>
      </c>
      <c r="B12" s="83">
        <v>4060</v>
      </c>
      <c r="C12" s="33">
        <v>49</v>
      </c>
      <c r="D12" s="137" t="s">
        <v>221</v>
      </c>
      <c r="E12" s="221"/>
      <c r="F12" s="221">
        <f t="shared" si="0"/>
        <v>-100</v>
      </c>
      <c r="G12" s="221"/>
    </row>
    <row r="13" spans="1:4" ht="13.5">
      <c r="A13" s="77"/>
      <c r="B13" s="77"/>
      <c r="D13" s="77"/>
    </row>
    <row r="15" spans="1:8" ht="13.5">
      <c r="A15" s="8" t="s">
        <v>180</v>
      </c>
      <c r="B15" s="271" t="s">
        <v>303</v>
      </c>
      <c r="C15" s="272"/>
      <c r="D15" s="272"/>
      <c r="E15" s="273"/>
      <c r="F15" s="273"/>
      <c r="G15" s="293"/>
      <c r="H15" s="250"/>
    </row>
    <row r="16" spans="1:8" ht="13.5">
      <c r="A16" s="8"/>
      <c r="B16" s="41"/>
      <c r="C16" s="42"/>
      <c r="D16" s="42"/>
      <c r="E16" s="250"/>
      <c r="F16" s="250"/>
      <c r="G16" s="250"/>
      <c r="H16" s="250"/>
    </row>
    <row r="17" spans="1:8" ht="18" customHeight="1">
      <c r="A17" s="8" t="s">
        <v>144</v>
      </c>
      <c r="B17" s="271" t="s">
        <v>304</v>
      </c>
      <c r="C17" s="272"/>
      <c r="D17" s="272"/>
      <c r="E17" s="273"/>
      <c r="F17" s="273"/>
      <c r="G17" s="250"/>
      <c r="H17" s="250"/>
    </row>
  </sheetData>
  <sheetProtection/>
  <mergeCells count="3">
    <mergeCell ref="A2:G2"/>
    <mergeCell ref="B17:F17"/>
    <mergeCell ref="B15:G15"/>
  </mergeCells>
  <printOptions/>
  <pageMargins left="1.1811023622047245" right="0.5905511811023623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4.57421875" style="32" customWidth="1"/>
    <col min="2" max="2" width="6.140625" style="150" customWidth="1"/>
    <col min="3" max="3" width="10.140625" style="40" customWidth="1"/>
    <col min="4" max="4" width="10.140625" style="32" customWidth="1"/>
    <col min="5" max="5" width="10.140625" style="151" customWidth="1"/>
    <col min="6" max="7" width="10.140625" style="32" customWidth="1"/>
    <col min="8" max="8" width="10.8515625" style="152" bestFit="1" customWidth="1"/>
    <col min="9" max="10" width="9.140625" style="152" customWidth="1"/>
    <col min="11" max="16384" width="9.140625" style="32" customWidth="1"/>
  </cols>
  <sheetData>
    <row r="1" spans="2:7" s="73" customFormat="1" ht="15">
      <c r="B1" s="74"/>
      <c r="F1" s="157"/>
      <c r="G1" s="157" t="s">
        <v>135</v>
      </c>
    </row>
    <row r="2" spans="1:6" s="73" customFormat="1" ht="15.75">
      <c r="A2" s="285" t="s">
        <v>191</v>
      </c>
      <c r="B2" s="285"/>
      <c r="C2" s="285"/>
      <c r="D2" s="285"/>
      <c r="E2" s="285"/>
      <c r="F2" s="285"/>
    </row>
    <row r="3" spans="1:6" s="73" customFormat="1" ht="15">
      <c r="A3" s="149"/>
      <c r="B3" s="160"/>
      <c r="C3" s="149"/>
      <c r="D3" s="158"/>
      <c r="E3" s="149"/>
      <c r="F3" s="149"/>
    </row>
    <row r="4" spans="1:7" ht="68.25" customHeight="1">
      <c r="A4" s="13" t="s">
        <v>1</v>
      </c>
      <c r="B4" s="13" t="s">
        <v>66</v>
      </c>
      <c r="C4" s="156" t="s">
        <v>263</v>
      </c>
      <c r="D4" s="5" t="s">
        <v>300</v>
      </c>
      <c r="E4" s="5" t="s">
        <v>301</v>
      </c>
      <c r="F4" s="5" t="s">
        <v>288</v>
      </c>
      <c r="G4" s="5" t="s">
        <v>289</v>
      </c>
    </row>
    <row r="5" spans="1:7" ht="12.75" customHeight="1">
      <c r="A5" s="14">
        <v>1</v>
      </c>
      <c r="B5" s="14">
        <v>2</v>
      </c>
      <c r="C5" s="228">
        <v>3</v>
      </c>
      <c r="D5" s="229">
        <v>4</v>
      </c>
      <c r="E5" s="233">
        <v>5</v>
      </c>
      <c r="F5" s="172">
        <v>6</v>
      </c>
      <c r="G5" s="172">
        <v>7</v>
      </c>
    </row>
    <row r="6" spans="1:10" s="194" customFormat="1" ht="71.25">
      <c r="A6" s="27" t="s">
        <v>302</v>
      </c>
      <c r="B6" s="147">
        <v>5010</v>
      </c>
      <c r="C6" s="226">
        <v>137</v>
      </c>
      <c r="D6" s="226">
        <v>139.5</v>
      </c>
      <c r="E6" s="230">
        <f>SUM(E7:E9)</f>
        <v>126</v>
      </c>
      <c r="F6" s="232">
        <f>E6-D6</f>
        <v>-13.5</v>
      </c>
      <c r="G6" s="232">
        <f>E6/D6*100</f>
        <v>90.32258064516128</v>
      </c>
      <c r="H6" s="235"/>
      <c r="I6" s="235"/>
      <c r="J6" s="234"/>
    </row>
    <row r="7" spans="1:7" ht="15" customHeight="1">
      <c r="A7" s="28" t="s">
        <v>155</v>
      </c>
      <c r="B7" s="13">
        <v>5011</v>
      </c>
      <c r="C7" s="85">
        <v>1</v>
      </c>
      <c r="D7" s="140">
        <v>1</v>
      </c>
      <c r="E7" s="179">
        <v>1</v>
      </c>
      <c r="F7" s="231">
        <f aca="true" t="shared" si="0" ref="F7:F25">E7-D7</f>
        <v>0</v>
      </c>
      <c r="G7" s="231">
        <f aca="true" t="shared" si="1" ref="G7:G25">E7/D7*100</f>
        <v>100</v>
      </c>
    </row>
    <row r="8" spans="1:7" ht="30">
      <c r="A8" s="28" t="s">
        <v>103</v>
      </c>
      <c r="B8" s="13">
        <v>5012</v>
      </c>
      <c r="C8" s="227">
        <v>19</v>
      </c>
      <c r="D8" s="198">
        <v>21.5</v>
      </c>
      <c r="E8" s="179">
        <v>18</v>
      </c>
      <c r="F8" s="231">
        <f t="shared" si="0"/>
        <v>-3.5</v>
      </c>
      <c r="G8" s="231">
        <f t="shared" si="1"/>
        <v>83.72093023255815</v>
      </c>
    </row>
    <row r="9" spans="1:7" ht="15" customHeight="1">
      <c r="A9" s="28" t="s">
        <v>104</v>
      </c>
      <c r="B9" s="13">
        <v>5013</v>
      </c>
      <c r="C9" s="85">
        <v>117</v>
      </c>
      <c r="D9" s="198">
        <v>117</v>
      </c>
      <c r="E9" s="179">
        <v>107</v>
      </c>
      <c r="F9" s="231">
        <f t="shared" si="0"/>
        <v>-10</v>
      </c>
      <c r="G9" s="231">
        <f t="shared" si="1"/>
        <v>91.45299145299145</v>
      </c>
    </row>
    <row r="10" spans="1:10" s="194" customFormat="1" ht="16.5" customHeight="1">
      <c r="A10" s="27" t="s">
        <v>105</v>
      </c>
      <c r="B10" s="147">
        <v>5020</v>
      </c>
      <c r="C10" s="86">
        <v>14183</v>
      </c>
      <c r="D10" s="139">
        <v>18012</v>
      </c>
      <c r="E10" s="232">
        <f>SUM(E11:E13)</f>
        <v>15828</v>
      </c>
      <c r="F10" s="232">
        <f t="shared" si="0"/>
        <v>-2184</v>
      </c>
      <c r="G10" s="232">
        <f t="shared" si="1"/>
        <v>87.87475016655563</v>
      </c>
      <c r="H10" s="234"/>
      <c r="I10" s="234"/>
      <c r="J10" s="234"/>
    </row>
    <row r="11" spans="1:7" ht="15" customHeight="1">
      <c r="A11" s="28" t="s">
        <v>155</v>
      </c>
      <c r="B11" s="13">
        <v>5021</v>
      </c>
      <c r="C11" s="85">
        <v>332</v>
      </c>
      <c r="D11" s="140">
        <v>396</v>
      </c>
      <c r="E11" s="231">
        <v>524</v>
      </c>
      <c r="F11" s="231">
        <f t="shared" si="0"/>
        <v>128</v>
      </c>
      <c r="G11" s="231">
        <f t="shared" si="1"/>
        <v>132.32323232323233</v>
      </c>
    </row>
    <row r="12" spans="1:7" ht="30">
      <c r="A12" s="28" t="s">
        <v>103</v>
      </c>
      <c r="B12" s="13">
        <v>5022</v>
      </c>
      <c r="C12" s="85">
        <v>2717</v>
      </c>
      <c r="D12" s="140">
        <v>3807</v>
      </c>
      <c r="E12" s="231">
        <v>3148</v>
      </c>
      <c r="F12" s="231">
        <f t="shared" si="0"/>
        <v>-659</v>
      </c>
      <c r="G12" s="231">
        <f t="shared" si="1"/>
        <v>82.68978198056213</v>
      </c>
    </row>
    <row r="13" spans="1:8" ht="15" customHeight="1">
      <c r="A13" s="28" t="s">
        <v>104</v>
      </c>
      <c r="B13" s="13">
        <v>5023</v>
      </c>
      <c r="C13" s="85">
        <v>11134</v>
      </c>
      <c r="D13" s="140">
        <v>13809</v>
      </c>
      <c r="E13" s="231">
        <v>12156</v>
      </c>
      <c r="F13" s="231">
        <f t="shared" si="0"/>
        <v>-1653</v>
      </c>
      <c r="G13" s="231">
        <f t="shared" si="1"/>
        <v>88.02954594829458</v>
      </c>
      <c r="H13" s="153"/>
    </row>
    <row r="14" spans="1:10" s="194" customFormat="1" ht="42.75">
      <c r="A14" s="27" t="s">
        <v>133</v>
      </c>
      <c r="B14" s="147">
        <v>5030</v>
      </c>
      <c r="C14" s="139">
        <v>8627.12895377129</v>
      </c>
      <c r="D14" s="139">
        <v>10759.856630824373</v>
      </c>
      <c r="E14" s="232">
        <f>E10/E6/12*1000</f>
        <v>10468.253968253968</v>
      </c>
      <c r="F14" s="232">
        <f t="shared" si="0"/>
        <v>-291.6026625704053</v>
      </c>
      <c r="G14" s="232">
        <f t="shared" si="1"/>
        <v>97.28990197011515</v>
      </c>
      <c r="H14" s="234"/>
      <c r="I14" s="252"/>
      <c r="J14" s="234"/>
    </row>
    <row r="15" spans="1:7" ht="15" customHeight="1">
      <c r="A15" s="28" t="s">
        <v>155</v>
      </c>
      <c r="B15" s="13">
        <v>5031</v>
      </c>
      <c r="C15" s="140">
        <v>27666.666666666668</v>
      </c>
      <c r="D15" s="140">
        <v>33000</v>
      </c>
      <c r="E15" s="231">
        <f>E11/E7/12*1000</f>
        <v>43666.666666666664</v>
      </c>
      <c r="F15" s="231">
        <f t="shared" si="0"/>
        <v>10666.666666666664</v>
      </c>
      <c r="G15" s="231">
        <f t="shared" si="1"/>
        <v>132.3232323232323</v>
      </c>
    </row>
    <row r="16" spans="1:7" ht="13.5">
      <c r="A16" s="28" t="s">
        <v>103</v>
      </c>
      <c r="B16" s="13">
        <v>5032</v>
      </c>
      <c r="C16" s="140">
        <v>11916.666666666666</v>
      </c>
      <c r="D16" s="140">
        <v>14755.813953488372</v>
      </c>
      <c r="E16" s="231">
        <f>E12/E8/12*1000</f>
        <v>14574.074074074075</v>
      </c>
      <c r="F16" s="231">
        <f t="shared" si="0"/>
        <v>-181.73987941429732</v>
      </c>
      <c r="G16" s="231">
        <f t="shared" si="1"/>
        <v>98.76835069900476</v>
      </c>
    </row>
    <row r="17" spans="1:7" ht="15" customHeight="1">
      <c r="A17" s="28" t="s">
        <v>104</v>
      </c>
      <c r="B17" s="13">
        <v>5033</v>
      </c>
      <c r="C17" s="140">
        <v>7930.19943019943</v>
      </c>
      <c r="D17" s="140">
        <v>9835.470085470086</v>
      </c>
      <c r="E17" s="231">
        <f>E13/E9/12*1000</f>
        <v>9467.289719626167</v>
      </c>
      <c r="F17" s="231">
        <f t="shared" si="0"/>
        <v>-368.1803658439185</v>
      </c>
      <c r="G17" s="231">
        <f t="shared" si="1"/>
        <v>96.25660631729407</v>
      </c>
    </row>
    <row r="18" spans="1:10" s="194" customFormat="1" ht="30" customHeight="1">
      <c r="A18" s="27" t="s">
        <v>106</v>
      </c>
      <c r="B18" s="147">
        <v>5040</v>
      </c>
      <c r="C18" s="139">
        <v>17190</v>
      </c>
      <c r="D18" s="139">
        <v>21974</v>
      </c>
      <c r="E18" s="232">
        <f>SUM(E19:E21)</f>
        <v>19231</v>
      </c>
      <c r="F18" s="232">
        <f t="shared" si="0"/>
        <v>-2743</v>
      </c>
      <c r="G18" s="232">
        <f t="shared" si="1"/>
        <v>87.51706562300902</v>
      </c>
      <c r="H18" s="234"/>
      <c r="I18" s="234"/>
      <c r="J18" s="234"/>
    </row>
    <row r="19" spans="1:7" ht="15" customHeight="1">
      <c r="A19" s="28" t="s">
        <v>155</v>
      </c>
      <c r="B19" s="13">
        <v>5041</v>
      </c>
      <c r="C19" s="85">
        <v>405</v>
      </c>
      <c r="D19" s="140">
        <v>483</v>
      </c>
      <c r="E19" s="231">
        <v>639</v>
      </c>
      <c r="F19" s="231">
        <f t="shared" si="0"/>
        <v>156</v>
      </c>
      <c r="G19" s="231">
        <f t="shared" si="1"/>
        <v>132.29813664596273</v>
      </c>
    </row>
    <row r="20" spans="1:7" ht="13.5">
      <c r="A20" s="28" t="s">
        <v>103</v>
      </c>
      <c r="B20" s="13">
        <v>5042</v>
      </c>
      <c r="C20" s="85">
        <v>3314</v>
      </c>
      <c r="D20" s="140">
        <v>4644</v>
      </c>
      <c r="E20" s="231">
        <v>3836</v>
      </c>
      <c r="F20" s="231">
        <f t="shared" si="0"/>
        <v>-808</v>
      </c>
      <c r="G20" s="231">
        <f t="shared" si="1"/>
        <v>82.6012058570198</v>
      </c>
    </row>
    <row r="21" spans="1:7" ht="15" customHeight="1">
      <c r="A21" s="28" t="s">
        <v>104</v>
      </c>
      <c r="B21" s="13">
        <v>5043</v>
      </c>
      <c r="C21" s="85">
        <v>13471</v>
      </c>
      <c r="D21" s="140">
        <v>16847</v>
      </c>
      <c r="E21" s="231">
        <v>14756</v>
      </c>
      <c r="F21" s="231">
        <f t="shared" si="0"/>
        <v>-2091</v>
      </c>
      <c r="G21" s="231">
        <f t="shared" si="1"/>
        <v>87.5882946518668</v>
      </c>
    </row>
    <row r="22" spans="1:10" s="194" customFormat="1" ht="45" customHeight="1">
      <c r="A22" s="27" t="s">
        <v>107</v>
      </c>
      <c r="B22" s="147">
        <v>5050</v>
      </c>
      <c r="C22" s="139">
        <v>10456.204379562043</v>
      </c>
      <c r="D22" s="139">
        <v>13127.025089605735</v>
      </c>
      <c r="E22" s="232">
        <f>E18/E6/12*1000</f>
        <v>12718.915343915343</v>
      </c>
      <c r="F22" s="232">
        <f t="shared" si="0"/>
        <v>-408.1097456903917</v>
      </c>
      <c r="G22" s="232">
        <f t="shared" si="1"/>
        <v>96.89107209817446</v>
      </c>
      <c r="H22" s="234"/>
      <c r="I22" s="234"/>
      <c r="J22" s="234"/>
    </row>
    <row r="23" spans="1:7" ht="15" customHeight="1">
      <c r="A23" s="28" t="s">
        <v>155</v>
      </c>
      <c r="B23" s="13">
        <v>5051</v>
      </c>
      <c r="C23" s="140">
        <v>33750</v>
      </c>
      <c r="D23" s="140">
        <v>40260</v>
      </c>
      <c r="E23" s="231">
        <f>E19/E7/12*1000</f>
        <v>53250</v>
      </c>
      <c r="F23" s="231">
        <f t="shared" si="0"/>
        <v>12990</v>
      </c>
      <c r="G23" s="231">
        <f t="shared" si="1"/>
        <v>132.26527570789867</v>
      </c>
    </row>
    <row r="24" spans="1:7" ht="13.5">
      <c r="A24" s="28" t="s">
        <v>103</v>
      </c>
      <c r="B24" s="13">
        <v>5052</v>
      </c>
      <c r="C24" s="140">
        <v>14535.087719298246</v>
      </c>
      <c r="D24" s="140">
        <v>18002.093023255813</v>
      </c>
      <c r="E24" s="231">
        <f>E20/E8/12*1000</f>
        <v>17759.25925925926</v>
      </c>
      <c r="F24" s="231">
        <f t="shared" si="0"/>
        <v>-242.8337639965539</v>
      </c>
      <c r="G24" s="231">
        <f t="shared" si="1"/>
        <v>98.65108038447057</v>
      </c>
    </row>
    <row r="25" spans="1:7" ht="15" customHeight="1">
      <c r="A25" s="28" t="s">
        <v>104</v>
      </c>
      <c r="B25" s="13">
        <v>5053</v>
      </c>
      <c r="C25" s="140">
        <v>9594.729344729345</v>
      </c>
      <c r="D25" s="140">
        <v>11999.273504273504</v>
      </c>
      <c r="E25" s="231">
        <f>E21/E9/12*1000</f>
        <v>11492.21183800623</v>
      </c>
      <c r="F25" s="231">
        <f t="shared" si="0"/>
        <v>-507.06166626727463</v>
      </c>
      <c r="G25" s="231">
        <f t="shared" si="1"/>
        <v>95.77423028080253</v>
      </c>
    </row>
    <row r="26" spans="1:4" ht="13.5">
      <c r="A26" s="77"/>
      <c r="B26" s="148"/>
      <c r="C26" s="74"/>
      <c r="D26" s="77"/>
    </row>
    <row r="27" spans="1:4" ht="13.5">
      <c r="A27" s="77"/>
      <c r="B27" s="148"/>
      <c r="C27" s="74"/>
      <c r="D27" s="77"/>
    </row>
    <row r="28" spans="1:8" s="73" customFormat="1" ht="13.5">
      <c r="A28" s="8" t="s">
        <v>180</v>
      </c>
      <c r="B28" s="271" t="s">
        <v>303</v>
      </c>
      <c r="C28" s="272"/>
      <c r="D28" s="272"/>
      <c r="E28" s="273"/>
      <c r="F28" s="273"/>
      <c r="G28" s="250"/>
      <c r="H28" s="250"/>
    </row>
    <row r="29" spans="1:8" s="73" customFormat="1" ht="13.5">
      <c r="A29" s="8"/>
      <c r="B29" s="41"/>
      <c r="C29" s="42"/>
      <c r="D29" s="42"/>
      <c r="E29" s="250"/>
      <c r="F29" s="250"/>
      <c r="G29" s="250"/>
      <c r="H29" s="250"/>
    </row>
    <row r="30" spans="1:8" s="73" customFormat="1" ht="18" customHeight="1">
      <c r="A30" s="8" t="s">
        <v>144</v>
      </c>
      <c r="B30" s="271" t="s">
        <v>304</v>
      </c>
      <c r="C30" s="272"/>
      <c r="D30" s="272"/>
      <c r="E30" s="273"/>
      <c r="F30" s="273"/>
      <c r="G30" s="250"/>
      <c r="H30" s="250"/>
    </row>
  </sheetData>
  <sheetProtection/>
  <mergeCells count="3">
    <mergeCell ref="A2:F2"/>
    <mergeCell ref="B28:F28"/>
    <mergeCell ref="B30:F30"/>
  </mergeCells>
  <printOptions/>
  <pageMargins left="1.1811023622047245" right="0.5905511811023623" top="0.7480314960629921" bottom="0.7480314960629921" header="0.31496062992125984" footer="0.31496062992125984"/>
  <pageSetup fitToHeight="1" fitToWidth="1" horizontalDpi="600" verticalDpi="600" orientation="portrait" paperSize="9" scale="8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2.28125" style="0" customWidth="1"/>
    <col min="2" max="2" width="6.7109375" style="0" customWidth="1"/>
    <col min="4" max="4" width="10.00390625" style="0" customWidth="1"/>
    <col min="5" max="5" width="9.140625" style="146" customWidth="1"/>
  </cols>
  <sheetData>
    <row r="1" spans="1:7" s="131" customFormat="1" ht="15">
      <c r="A1" s="129"/>
      <c r="B1" s="130"/>
      <c r="C1" s="130"/>
      <c r="D1" s="130"/>
      <c r="E1" s="146"/>
      <c r="G1" s="157" t="s">
        <v>306</v>
      </c>
    </row>
    <row r="2" spans="1:7" s="131" customFormat="1" ht="36" customHeight="1">
      <c r="A2" s="302" t="s">
        <v>273</v>
      </c>
      <c r="B2" s="302"/>
      <c r="C2" s="302"/>
      <c r="D2" s="302"/>
      <c r="E2" s="303"/>
      <c r="F2" s="303"/>
      <c r="G2" s="303"/>
    </row>
    <row r="3" spans="1:5" s="131" customFormat="1" ht="7.5" customHeight="1">
      <c r="A3" s="1"/>
      <c r="B3" s="2"/>
      <c r="C3" s="1"/>
      <c r="D3" s="2"/>
      <c r="E3" s="146"/>
    </row>
    <row r="4" spans="1:7" s="131" customFormat="1" ht="15" customHeight="1">
      <c r="A4" s="287" t="s">
        <v>1</v>
      </c>
      <c r="B4" s="306" t="s">
        <v>2</v>
      </c>
      <c r="C4" s="267" t="s">
        <v>287</v>
      </c>
      <c r="D4" s="265" t="s">
        <v>290</v>
      </c>
      <c r="E4" s="269" t="s">
        <v>291</v>
      </c>
      <c r="F4" s="269" t="s">
        <v>288</v>
      </c>
      <c r="G4" s="269" t="s">
        <v>289</v>
      </c>
    </row>
    <row r="5" spans="1:7" s="131" customFormat="1" ht="70.5" customHeight="1">
      <c r="A5" s="263"/>
      <c r="B5" s="265"/>
      <c r="C5" s="301"/>
      <c r="D5" s="301"/>
      <c r="E5" s="301"/>
      <c r="F5" s="301"/>
      <c r="G5" s="301"/>
    </row>
    <row r="6" spans="1:7" s="134" customFormat="1" ht="12.75">
      <c r="A6" s="132">
        <v>1</v>
      </c>
      <c r="B6" s="133">
        <v>2</v>
      </c>
      <c r="C6" s="133">
        <v>3</v>
      </c>
      <c r="D6" s="133">
        <v>4</v>
      </c>
      <c r="E6" s="236">
        <v>5</v>
      </c>
      <c r="F6" s="237">
        <v>6</v>
      </c>
      <c r="G6" s="237">
        <v>7</v>
      </c>
    </row>
    <row r="7" spans="1:7" s="131" customFormat="1" ht="15">
      <c r="A7" s="304" t="s">
        <v>274</v>
      </c>
      <c r="B7" s="304"/>
      <c r="C7" s="304"/>
      <c r="D7" s="304"/>
      <c r="E7" s="236"/>
      <c r="F7" s="238"/>
      <c r="G7" s="238"/>
    </row>
    <row r="8" spans="1:7" ht="27">
      <c r="A8" s="239" t="s">
        <v>275</v>
      </c>
      <c r="B8" s="240">
        <v>6000</v>
      </c>
      <c r="C8" s="241">
        <v>243</v>
      </c>
      <c r="D8" s="241">
        <v>1831</v>
      </c>
      <c r="E8" s="179">
        <v>1831</v>
      </c>
      <c r="F8" s="215">
        <f>E8-D8</f>
        <v>0</v>
      </c>
      <c r="G8" s="215">
        <f>E8/D8*100</f>
        <v>100</v>
      </c>
    </row>
    <row r="9" spans="1:7" ht="13.5">
      <c r="A9" s="305" t="s">
        <v>276</v>
      </c>
      <c r="B9" s="305"/>
      <c r="C9" s="305"/>
      <c r="D9" s="305"/>
      <c r="E9" s="244"/>
      <c r="F9" s="245"/>
      <c r="G9" s="245"/>
    </row>
    <row r="10" spans="1:7" ht="41.25">
      <c r="A10" s="239" t="s">
        <v>280</v>
      </c>
      <c r="B10" s="240">
        <v>6010</v>
      </c>
      <c r="C10" s="242"/>
      <c r="D10" s="241"/>
      <c r="E10" s="179"/>
      <c r="F10" s="215"/>
      <c r="G10" s="215"/>
    </row>
    <row r="11" spans="1:7" ht="27">
      <c r="A11" s="239" t="s">
        <v>277</v>
      </c>
      <c r="B11" s="243">
        <v>6020</v>
      </c>
      <c r="C11" s="242">
        <v>243</v>
      </c>
      <c r="D11" s="241">
        <v>1831</v>
      </c>
      <c r="E11" s="179">
        <v>1831</v>
      </c>
      <c r="F11" s="215">
        <f>E11-D11</f>
        <v>0</v>
      </c>
      <c r="G11" s="215">
        <f>E11/D11*100</f>
        <v>100</v>
      </c>
    </row>
    <row r="12" spans="1:7" ht="27">
      <c r="A12" s="239" t="s">
        <v>286</v>
      </c>
      <c r="B12" s="243" t="s">
        <v>285</v>
      </c>
      <c r="C12" s="242">
        <v>243</v>
      </c>
      <c r="D12" s="241">
        <v>1831</v>
      </c>
      <c r="E12" s="179">
        <v>1831</v>
      </c>
      <c r="F12" s="215">
        <f>E12-D12</f>
        <v>0</v>
      </c>
      <c r="G12" s="215">
        <f>E12/D12*100</f>
        <v>100</v>
      </c>
    </row>
    <row r="13" spans="1:7" ht="13.5">
      <c r="A13" s="135" t="s">
        <v>278</v>
      </c>
      <c r="B13" s="135"/>
      <c r="C13" s="179"/>
      <c r="D13" s="179"/>
      <c r="E13" s="179"/>
      <c r="F13" s="179"/>
      <c r="G13" s="179"/>
    </row>
    <row r="14" spans="1:4" ht="13.5">
      <c r="A14" s="136"/>
      <c r="B14" s="136"/>
      <c r="C14" s="136"/>
      <c r="D14" s="136"/>
    </row>
    <row r="15" spans="1:4" ht="13.5">
      <c r="A15" s="136"/>
      <c r="B15" s="136"/>
      <c r="C15" s="136"/>
      <c r="D15" s="136"/>
    </row>
    <row r="16" spans="1:8" s="73" customFormat="1" ht="13.5">
      <c r="A16" s="8" t="s">
        <v>180</v>
      </c>
      <c r="B16" s="271" t="s">
        <v>303</v>
      </c>
      <c r="C16" s="272"/>
      <c r="D16" s="272"/>
      <c r="E16" s="273"/>
      <c r="F16" s="273"/>
      <c r="G16" s="293"/>
      <c r="H16" s="250"/>
    </row>
    <row r="17" spans="1:8" s="73" customFormat="1" ht="13.5">
      <c r="A17" s="8"/>
      <c r="B17" s="41"/>
      <c r="C17" s="42"/>
      <c r="D17" s="42"/>
      <c r="E17" s="250"/>
      <c r="F17" s="250"/>
      <c r="G17" s="250"/>
      <c r="H17" s="250"/>
    </row>
    <row r="18" spans="1:8" s="73" customFormat="1" ht="18" customHeight="1">
      <c r="A18" s="8" t="s">
        <v>144</v>
      </c>
      <c r="B18" s="271" t="s">
        <v>304</v>
      </c>
      <c r="C18" s="272"/>
      <c r="D18" s="272"/>
      <c r="E18" s="273"/>
      <c r="F18" s="273"/>
      <c r="G18" s="250"/>
      <c r="H18" s="250"/>
    </row>
  </sheetData>
  <sheetProtection/>
  <mergeCells count="12">
    <mergeCell ref="B18:F18"/>
    <mergeCell ref="B16:G16"/>
    <mergeCell ref="A4:A5"/>
    <mergeCell ref="B4:B5"/>
    <mergeCell ref="C4:C5"/>
    <mergeCell ref="D4:D5"/>
    <mergeCell ref="G4:G5"/>
    <mergeCell ref="A2:G2"/>
    <mergeCell ref="A7:D7"/>
    <mergeCell ref="A9:D9"/>
    <mergeCell ref="E4:E5"/>
    <mergeCell ref="F4:F5"/>
  </mergeCells>
  <printOptions/>
  <pageMargins left="1.1811023622047245" right="0.5905511811023623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Oksana</cp:lastModifiedBy>
  <cp:lastPrinted>2023-03-02T07:38:35Z</cp:lastPrinted>
  <dcterms:created xsi:type="dcterms:W3CDTF">1996-10-08T23:32:33Z</dcterms:created>
  <dcterms:modified xsi:type="dcterms:W3CDTF">2023-03-09T08:06:02Z</dcterms:modified>
  <cp:category/>
  <cp:version/>
  <cp:contentType/>
  <cp:contentStatus/>
</cp:coreProperties>
</file>